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920" activeTab="0"/>
  </bookViews>
  <sheets>
    <sheet name="бюдж.разв." sheetId="1" r:id="rId1"/>
  </sheets>
  <definedNames>
    <definedName name="_xlnm.Print_Area" localSheetId="0">'бюдж.разв.'!$A$1:$M$105</definedName>
  </definedNames>
  <calcPr fullCalcOnLoad="1"/>
</workbook>
</file>

<file path=xl/sharedStrings.xml><?xml version="1.0" encoding="utf-8"?>
<sst xmlns="http://schemas.openxmlformats.org/spreadsheetml/2006/main" count="147" uniqueCount="74">
  <si>
    <t>Всего</t>
  </si>
  <si>
    <t>местный</t>
  </si>
  <si>
    <t>бюджет</t>
  </si>
  <si>
    <t>областной</t>
  </si>
  <si>
    <t>Невельского городского округа</t>
  </si>
  <si>
    <t>"О местном бюджете Невельского</t>
  </si>
  <si>
    <t>городского округа на 2012 год"</t>
  </si>
  <si>
    <t>Сумма, в том числе</t>
  </si>
  <si>
    <t>2015 год</t>
  </si>
  <si>
    <t>2016 год</t>
  </si>
  <si>
    <t>ИТОГО</t>
  </si>
  <si>
    <t xml:space="preserve">к Решению Собрания </t>
  </si>
  <si>
    <r>
      <t xml:space="preserve">от " "  </t>
    </r>
    <r>
      <rPr>
        <u val="single"/>
        <sz val="11"/>
        <rFont val="Times New Roman"/>
        <family val="1"/>
      </rPr>
      <t>декабря</t>
    </r>
    <r>
      <rPr>
        <sz val="11"/>
        <rFont val="Times New Roman"/>
        <family val="1"/>
      </rPr>
      <t xml:space="preserve"> 2014г. № </t>
    </r>
  </si>
  <si>
    <t>Наименование программы  / главные распорядители бюджетных средств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</si>
  <si>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</si>
  <si>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</si>
  <si>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</si>
  <si>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</si>
  <si>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</si>
  <si>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</si>
  <si>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</si>
  <si>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</si>
  <si>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</si>
  <si>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</si>
  <si>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</si>
  <si>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</si>
  <si>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Администрация Невельского городского округа</t>
  </si>
  <si>
    <t xml:space="preserve">Приложение № </t>
  </si>
  <si>
    <t xml:space="preserve">Перечень и  финансовое обеспечение муниципальных программ </t>
  </si>
  <si>
    <r>
      <t>тыс. руб</t>
    </r>
    <r>
      <rPr>
        <b/>
        <sz val="11"/>
        <rFont val="Times New Roman"/>
        <family val="1"/>
      </rPr>
      <t>.</t>
    </r>
  </si>
  <si>
    <t xml:space="preserve">Отдел образования администрации Невельского городского округа </t>
  </si>
  <si>
    <t>Отдел капитального строительства администрации Невельского городского округа</t>
  </si>
  <si>
    <t>Отдел физической культуры, спорта и молодежной политики администрации Невельского городского округа</t>
  </si>
  <si>
    <t>Отдел опеки и попечительства администрации Невельского городского округа</t>
  </si>
  <si>
    <t>непрограммные</t>
  </si>
  <si>
    <t>Финансовый отдел  администрации Невельского городского округа</t>
  </si>
  <si>
    <t xml:space="preserve">Территориальный отдел по управлению селом  Горнозаводск Невельского городского округа  </t>
  </si>
  <si>
    <t xml:space="preserve">Территориальный отдел по управлению селом Шебунино Невельского городского округа </t>
  </si>
  <si>
    <t>Отдел капитального строительства и жилищно- коммунального хозяйства администрации Невельского городского округа</t>
  </si>
  <si>
    <t>12</t>
  </si>
  <si>
    <t>13</t>
  </si>
  <si>
    <t>14</t>
  </si>
  <si>
    <t>15</t>
  </si>
  <si>
    <t>16</t>
  </si>
  <si>
    <t>17</t>
  </si>
  <si>
    <t>Муниципальная программа "Социальная поддержка населения муниципального образования «Невельский городской округ» на 2018-2022годы"</t>
  </si>
  <si>
    <t>Муниципальная программа "Обеспечение общественного порядка , противодействие преступности и незаконному обороту наркотиков в муниципальном образовании «Невельский городской округ» на 2018-2022годы"</t>
  </si>
  <si>
    <t>Муниципальная программа "Охрана окружающей среды в муниципальном образовании «Невельский городской округ» на 2018-2022 годы"</t>
  </si>
  <si>
    <t>Мцниципальная программа "Безопасность дорожного движения в муниципальном образовании «Невельский городской округ» на 2018-2022 годы"</t>
  </si>
  <si>
    <t>Муниципальная программа "Защита населения и территории Невельского городского округа от чрезвычайных  ситуаций природного и техногенного характера, обеспечение пожарной безопасности  и безопасности людей на водных объектах на 2018-2022 годы"</t>
  </si>
  <si>
    <t xml:space="preserve">Муниципальная программа "Развитие внутреннего въездного туризма в муниципальном образовании </t>
  </si>
  <si>
    <t xml:space="preserve"> «Невельский городской округ» на 2018-2022 годы"</t>
  </si>
  <si>
    <t>Муниципальная программа "Доступная среда в муниципальном образовании «Невельский городской округ» на 2018-2022 годы"</t>
  </si>
  <si>
    <t>Муниципальная программа "Совершенствование системы муниципального управления в муниципальном образовании «Невельский городской округ» на 2018-2022 годы"</t>
  </si>
  <si>
    <t>Муниципальная программа "Совершенствование системы управления муниципальным имуществом в Невельском городском округе на 2018-2022годы"</t>
  </si>
  <si>
    <t>Отдел капитального строительства и жилищно-коммунального хозяйства администрации Невельского городского округа</t>
  </si>
  <si>
    <t>18</t>
  </si>
  <si>
    <t>Муниципальная программа "Формирование современной городской среды на территории Невельского городского округа на 2018-2022 годы"</t>
  </si>
  <si>
    <t>Муниципальная программа "Развитие образования в муниципальном образовании "Невельский городской округ" на 2015-2022 годы"</t>
  </si>
  <si>
    <t>Муниципальная программа "Обеспечение населения муниципального образования «Невельский городской округ» качественным жильем на 2015-2022 годы"</t>
  </si>
  <si>
    <t>Муниципальная программа "Обеспечение населения муниципального образования «Невельский городской округ» качественными услугами жилищно-коммунального хозяйства на 2015-2022 годы"</t>
  </si>
  <si>
    <t>Муниципальная программа "Развитие культуры в муниципальном образовании «Невельский городской округ» на 2015-2022 годы"</t>
  </si>
  <si>
    <t>Муниципальная программа "Развитие физической культуры, спорта и молодежной политики в муниципальном образовании "Невельский городской округ" на 2015-2022 годы"</t>
  </si>
  <si>
    <t>Муниципальная программа "Развитие транспортной инфраструктуры и дорожного хозяйства муниципального образования "Невельский городской округ" на 2015-2022 годы"</t>
  </si>
  <si>
    <t>Муниципальная программа "Стимулирование экономической активности в муниципальном образовании "Невельский городской округ" на 2015-2022 годы"</t>
  </si>
  <si>
    <t>Муниципальная программа "Повышение эффективности управления муниципальными финансами в муниципальном образовании "Невельский городской округ" на 2015-2022годы"</t>
  </si>
  <si>
    <t xml:space="preserve">от "    "    2019 г. № </t>
  </si>
  <si>
    <t>Отдел  по  имуществу, землепользованию, архитектуре и градостроительству  администрации Невельского городского округа</t>
  </si>
  <si>
    <t>Отдел культуры, спорта и молодежной политики администрации Невельского    городского   округа</t>
  </si>
  <si>
    <t>Приложение № 7</t>
  </si>
  <si>
    <t>2020 год</t>
  </si>
  <si>
    <t>Невельского городского округа на 2020 год</t>
  </si>
  <si>
    <t>Отдел культуры, спорта и молодежной политики администрации Невельского городского округа</t>
  </si>
  <si>
    <t>Отдел культуры, спорта,  и молодежной политики администрации Невельского    городского   округа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</si>
</sst>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_-* #,##0.000_р_._-;\-* #,##0.000_р_._-;_-* &quot;-&quot;??_р_._-;_-@_-"/>
    <numFmt numFmtId="181" formatCode="_-* #,##0.000_р_._-;\-* #,##0.000_р_._-;_-* &quot;-&quot;???_р_._-;_-@_-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2" fontId="4" fillId="32" borderId="10" xfId="0" applyNumberFormat="1" applyFont="1" applyFill="1" applyBorder="1" applyAlignment="1">
      <alignment horizontal="center" vertical="top" wrapText="1"/>
    </xf>
    <xf numFmtId="2" fontId="4" fillId="32" borderId="11" xfId="0" applyNumberFormat="1" applyFont="1" applyFill="1" applyBorder="1" applyAlignment="1">
      <alignment horizontal="center" vertical="top" wrapText="1"/>
    </xf>
    <xf numFmtId="0" fontId="4" fillId="32" borderId="0" xfId="0" applyFont="1" applyFill="1" applyAlignment="1">
      <alignment/>
    </xf>
    <xf numFmtId="2" fontId="4" fillId="32" borderId="12" xfId="0" applyNumberFormat="1" applyFont="1" applyFill="1" applyBorder="1" applyAlignment="1">
      <alignment horizontal="center" vertical="top" wrapText="1"/>
    </xf>
    <xf numFmtId="0" fontId="3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4" fillId="32" borderId="13" xfId="0" applyFont="1" applyFill="1" applyBorder="1" applyAlignment="1">
      <alignment/>
    </xf>
    <xf numFmtId="0" fontId="4" fillId="32" borderId="0" xfId="0" applyFont="1" applyFill="1" applyBorder="1" applyAlignment="1">
      <alignment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justify" vertical="top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/>
    </xf>
    <xf numFmtId="0" fontId="4" fillId="32" borderId="16" xfId="0" applyFont="1" applyFill="1" applyBorder="1" applyAlignment="1">
      <alignment horizontal="justify" vertical="top" wrapText="1"/>
    </xf>
    <xf numFmtId="0" fontId="4" fillId="32" borderId="12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/>
    </xf>
    <xf numFmtId="2" fontId="6" fillId="32" borderId="10" xfId="0" applyNumberFormat="1" applyFont="1" applyFill="1" applyBorder="1" applyAlignment="1">
      <alignment horizontal="center" vertical="top" wrapText="1"/>
    </xf>
    <xf numFmtId="2" fontId="6" fillId="32" borderId="1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32" borderId="0" xfId="0" applyFont="1" applyFill="1" applyAlignment="1">
      <alignment horizontal="left"/>
    </xf>
    <xf numFmtId="0" fontId="4" fillId="0" borderId="0" xfId="0" applyFont="1" applyAlignment="1">
      <alignment/>
    </xf>
    <xf numFmtId="0" fontId="6" fillId="32" borderId="0" xfId="0" applyFont="1" applyFill="1" applyAlignment="1">
      <alignment/>
    </xf>
    <xf numFmtId="43" fontId="4" fillId="32" borderId="11" xfId="60" applyFont="1" applyFill="1" applyBorder="1" applyAlignment="1">
      <alignment horizontal="center" vertical="top" wrapText="1"/>
    </xf>
    <xf numFmtId="43" fontId="4" fillId="32" borderId="12" xfId="60" applyFont="1" applyFill="1" applyBorder="1" applyAlignment="1">
      <alignment horizontal="center" vertical="top" wrapText="1"/>
    </xf>
    <xf numFmtId="43" fontId="0" fillId="32" borderId="15" xfId="60" applyFont="1" applyFill="1" applyBorder="1" applyAlignment="1">
      <alignment vertical="top"/>
    </xf>
    <xf numFmtId="43" fontId="4" fillId="32" borderId="10" xfId="60" applyFont="1" applyFill="1" applyBorder="1" applyAlignment="1">
      <alignment horizontal="center" vertical="top" wrapText="1"/>
    </xf>
    <xf numFmtId="43" fontId="6" fillId="32" borderId="12" xfId="60" applyFont="1" applyFill="1" applyBorder="1" applyAlignment="1">
      <alignment horizontal="center" vertical="top" wrapText="1"/>
    </xf>
    <xf numFmtId="43" fontId="6" fillId="32" borderId="11" xfId="60" applyFont="1" applyFill="1" applyBorder="1" applyAlignment="1">
      <alignment horizontal="center" vertical="top" wrapText="1"/>
    </xf>
    <xf numFmtId="43" fontId="0" fillId="0" borderId="0" xfId="0" applyNumberFormat="1" applyAlignment="1">
      <alignment/>
    </xf>
    <xf numFmtId="43" fontId="0" fillId="32" borderId="15" xfId="60" applyFont="1" applyFill="1" applyBorder="1" applyAlignment="1">
      <alignment vertical="top"/>
    </xf>
    <xf numFmtId="181" fontId="0" fillId="0" borderId="0" xfId="0" applyNumberFormat="1" applyAlignment="1">
      <alignment/>
    </xf>
    <xf numFmtId="49" fontId="4" fillId="32" borderId="11" xfId="60" applyNumberFormat="1" applyFont="1" applyFill="1" applyBorder="1" applyAlignment="1">
      <alignment vertical="top" wrapText="1"/>
    </xf>
    <xf numFmtId="43" fontId="10" fillId="32" borderId="11" xfId="6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180" fontId="9" fillId="32" borderId="10" xfId="60" applyNumberFormat="1" applyFont="1" applyFill="1" applyBorder="1" applyAlignment="1">
      <alignment horizontal="center" vertical="top" wrapText="1"/>
    </xf>
    <xf numFmtId="43" fontId="9" fillId="32" borderId="11" xfId="60" applyFont="1" applyFill="1" applyBorder="1" applyAlignment="1">
      <alignment horizontal="left" vertical="top" wrapText="1"/>
    </xf>
    <xf numFmtId="0" fontId="9" fillId="32" borderId="14" xfId="0" applyFont="1" applyFill="1" applyBorder="1" applyAlignment="1">
      <alignment horizontal="center" vertical="top" wrapText="1"/>
    </xf>
    <xf numFmtId="0" fontId="9" fillId="32" borderId="15" xfId="0" applyFont="1" applyFill="1" applyBorder="1" applyAlignment="1">
      <alignment horizontal="center" vertical="top" wrapText="1"/>
    </xf>
    <xf numFmtId="0" fontId="9" fillId="32" borderId="14" xfId="0" applyFont="1" applyFill="1" applyBorder="1" applyAlignment="1">
      <alignment/>
    </xf>
    <xf numFmtId="0" fontId="9" fillId="32" borderId="12" xfId="0" applyFont="1" applyFill="1" applyBorder="1" applyAlignment="1">
      <alignment horizontal="center" vertical="top" wrapText="1"/>
    </xf>
    <xf numFmtId="0" fontId="9" fillId="32" borderId="12" xfId="0" applyFont="1" applyFill="1" applyBorder="1" applyAlignment="1">
      <alignment/>
    </xf>
    <xf numFmtId="180" fontId="10" fillId="32" borderId="12" xfId="60" applyNumberFormat="1" applyFont="1" applyFill="1" applyBorder="1" applyAlignment="1">
      <alignment horizontal="center" vertical="top" wrapText="1"/>
    </xf>
    <xf numFmtId="180" fontId="9" fillId="32" borderId="12" xfId="60" applyNumberFormat="1" applyFont="1" applyFill="1" applyBorder="1" applyAlignment="1">
      <alignment horizontal="center" vertical="top" wrapText="1"/>
    </xf>
    <xf numFmtId="180" fontId="9" fillId="32" borderId="11" xfId="60" applyNumberFormat="1" applyFont="1" applyFill="1" applyBorder="1" applyAlignment="1">
      <alignment horizontal="center" vertical="top" wrapText="1"/>
    </xf>
    <xf numFmtId="180" fontId="10" fillId="32" borderId="11" xfId="60" applyNumberFormat="1" applyFont="1" applyFill="1" applyBorder="1" applyAlignment="1">
      <alignment horizontal="center" vertical="top" wrapText="1"/>
    </xf>
    <xf numFmtId="180" fontId="10" fillId="32" borderId="10" xfId="60" applyNumberFormat="1" applyFont="1" applyFill="1" applyBorder="1" applyAlignment="1">
      <alignment horizontal="center" vertical="top" wrapText="1"/>
    </xf>
    <xf numFmtId="180" fontId="9" fillId="32" borderId="0" xfId="60" applyNumberFormat="1" applyFont="1" applyFill="1" applyAlignment="1">
      <alignment/>
    </xf>
    <xf numFmtId="0" fontId="9" fillId="32" borderId="0" xfId="0" applyFont="1" applyFill="1" applyAlignment="1">
      <alignment/>
    </xf>
    <xf numFmtId="43" fontId="9" fillId="32" borderId="17" xfId="6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9" fillId="32" borderId="11" xfId="60" applyNumberFormat="1" applyFont="1" applyFill="1" applyBorder="1" applyAlignment="1">
      <alignment horizontal="right" vertical="top" wrapText="1"/>
    </xf>
    <xf numFmtId="180" fontId="9" fillId="32" borderId="14" xfId="60" applyNumberFormat="1" applyFont="1" applyFill="1" applyBorder="1" applyAlignment="1">
      <alignment horizontal="center" vertical="top" wrapText="1"/>
    </xf>
    <xf numFmtId="180" fontId="9" fillId="32" borderId="18" xfId="60" applyNumberFormat="1" applyFont="1" applyFill="1" applyBorder="1" applyAlignment="1">
      <alignment horizontal="center" vertical="top" wrapText="1"/>
    </xf>
    <xf numFmtId="180" fontId="9" fillId="32" borderId="14" xfId="60" applyNumberFormat="1" applyFont="1" applyFill="1" applyBorder="1" applyAlignment="1">
      <alignment horizontal="center" vertical="top" wrapText="1"/>
    </xf>
    <xf numFmtId="49" fontId="0" fillId="32" borderId="15" xfId="60" applyNumberFormat="1" applyFont="1" applyFill="1" applyBorder="1" applyAlignment="1">
      <alignment horizontal="center" vertical="top"/>
    </xf>
    <xf numFmtId="180" fontId="9" fillId="32" borderId="12" xfId="60" applyNumberFormat="1" applyFont="1" applyFill="1" applyBorder="1" applyAlignment="1">
      <alignment horizontal="center" vertical="top" wrapText="1"/>
    </xf>
    <xf numFmtId="180" fontId="9" fillId="32" borderId="19" xfId="60" applyNumberFormat="1" applyFont="1" applyFill="1" applyBorder="1" applyAlignment="1">
      <alignment horizontal="center" vertical="top" wrapText="1"/>
    </xf>
    <xf numFmtId="49" fontId="0" fillId="32" borderId="15" xfId="60" applyNumberFormat="1" applyFont="1" applyFill="1" applyBorder="1" applyAlignment="1">
      <alignment horizontal="center" vertical="top"/>
    </xf>
    <xf numFmtId="43" fontId="6" fillId="32" borderId="10" xfId="60" applyFont="1" applyFill="1" applyBorder="1" applyAlignment="1">
      <alignment horizontal="center" vertical="top" wrapText="1"/>
    </xf>
    <xf numFmtId="49" fontId="0" fillId="32" borderId="15" xfId="60" applyNumberFormat="1" applyFont="1" applyFill="1" applyBorder="1" applyAlignment="1">
      <alignment horizontal="center" vertical="top"/>
    </xf>
    <xf numFmtId="49" fontId="0" fillId="32" borderId="15" xfId="60" applyNumberFormat="1" applyFont="1" applyFill="1" applyBorder="1" applyAlignment="1">
      <alignment horizontal="center" vertical="top"/>
    </xf>
    <xf numFmtId="0" fontId="8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49" fontId="0" fillId="32" borderId="14" xfId="60" applyNumberFormat="1" applyFont="1" applyFill="1" applyBorder="1" applyAlignment="1">
      <alignment horizontal="center" vertical="top"/>
    </xf>
    <xf numFmtId="49" fontId="0" fillId="32" borderId="15" xfId="60" applyNumberFormat="1" applyFont="1" applyFill="1" applyBorder="1" applyAlignment="1">
      <alignment horizontal="center" vertical="top"/>
    </xf>
    <xf numFmtId="49" fontId="0" fillId="32" borderId="12" xfId="60" applyNumberFormat="1" applyFont="1" applyFill="1" applyBorder="1" applyAlignment="1">
      <alignment horizontal="center" vertical="top"/>
    </xf>
    <xf numFmtId="180" fontId="10" fillId="32" borderId="14" xfId="60" applyNumberFormat="1" applyFont="1" applyFill="1" applyBorder="1" applyAlignment="1">
      <alignment horizontal="center" vertical="top" wrapText="1"/>
    </xf>
    <xf numFmtId="180" fontId="10" fillId="32" borderId="12" xfId="60" applyNumberFormat="1" applyFont="1" applyFill="1" applyBorder="1" applyAlignment="1">
      <alignment horizontal="center" vertical="top" wrapText="1"/>
    </xf>
    <xf numFmtId="43" fontId="4" fillId="32" borderId="14" xfId="60" applyFont="1" applyFill="1" applyBorder="1" applyAlignment="1">
      <alignment vertical="top"/>
    </xf>
    <xf numFmtId="43" fontId="4" fillId="32" borderId="15" xfId="60" applyFont="1" applyFill="1" applyBorder="1" applyAlignment="1">
      <alignment vertical="top"/>
    </xf>
    <xf numFmtId="43" fontId="0" fillId="32" borderId="12" xfId="60" applyFont="1" applyFill="1" applyBorder="1" applyAlignment="1">
      <alignment vertical="top"/>
    </xf>
    <xf numFmtId="43" fontId="0" fillId="32" borderId="15" xfId="60" applyFont="1" applyFill="1" applyBorder="1" applyAlignment="1">
      <alignment vertical="top"/>
    </xf>
    <xf numFmtId="0" fontId="4" fillId="32" borderId="20" xfId="0" applyFont="1" applyFill="1" applyBorder="1" applyAlignment="1">
      <alignment horizontal="center"/>
    </xf>
    <xf numFmtId="0" fontId="4" fillId="32" borderId="13" xfId="0" applyFont="1" applyFill="1" applyBorder="1" applyAlignment="1">
      <alignment/>
    </xf>
    <xf numFmtId="0" fontId="4" fillId="32" borderId="18" xfId="0" applyFont="1" applyFill="1" applyBorder="1" applyAlignment="1">
      <alignment/>
    </xf>
    <xf numFmtId="0" fontId="4" fillId="32" borderId="21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3" fillId="32" borderId="0" xfId="0" applyFont="1" applyFill="1" applyAlignment="1">
      <alignment horizontal="left"/>
    </xf>
    <xf numFmtId="0" fontId="9" fillId="32" borderId="20" xfId="0" applyFont="1" applyFill="1" applyBorder="1" applyAlignment="1">
      <alignment horizontal="center"/>
    </xf>
    <xf numFmtId="0" fontId="9" fillId="32" borderId="13" xfId="0" applyFont="1" applyFill="1" applyBorder="1" applyAlignment="1">
      <alignment/>
    </xf>
    <xf numFmtId="0" fontId="9" fillId="32" borderId="18" xfId="0" applyFont="1" applyFill="1" applyBorder="1" applyAlignment="1">
      <alignment/>
    </xf>
    <xf numFmtId="0" fontId="9" fillId="32" borderId="21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4" fillId="32" borderId="14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12" xfId="0" applyFont="1" applyFill="1" applyBorder="1" applyAlignment="1">
      <alignment wrapText="1"/>
    </xf>
    <xf numFmtId="43" fontId="4" fillId="32" borderId="14" xfId="6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3"/>
  <sheetViews>
    <sheetView tabSelected="1" zoomScaleSheetLayoutView="100" zoomScalePageLayoutView="0" workbookViewId="0" topLeftCell="A99">
      <selection activeCell="AA105" sqref="AA105"/>
    </sheetView>
  </sheetViews>
  <sheetFormatPr defaultColWidth="9.00390625" defaultRowHeight="12.75"/>
  <cols>
    <col min="1" max="1" width="2.625" style="7" customWidth="1"/>
    <col min="2" max="2" width="63.875" style="4" customWidth="1"/>
    <col min="3" max="3" width="13.25390625" style="4" hidden="1" customWidth="1"/>
    <col min="4" max="4" width="13.375" style="4" hidden="1" customWidth="1"/>
    <col min="5" max="5" width="17.00390625" style="4" hidden="1" customWidth="1"/>
    <col min="6" max="6" width="16.125" style="4" customWidth="1"/>
    <col min="7" max="7" width="17.75390625" style="4" customWidth="1"/>
    <col min="8" max="8" width="16.25390625" style="4" customWidth="1"/>
    <col min="9" max="10" width="9.125" style="0" hidden="1" customWidth="1"/>
    <col min="11" max="11" width="9.625" style="0" hidden="1" customWidth="1"/>
    <col min="12" max="13" width="9.125" style="0" hidden="1" customWidth="1"/>
    <col min="14" max="14" width="14.625" style="0" hidden="1" customWidth="1"/>
    <col min="15" max="16" width="9.125" style="0" hidden="1" customWidth="1"/>
    <col min="17" max="17" width="16.00390625" style="0" hidden="1" customWidth="1"/>
    <col min="18" max="18" width="12.875" style="0" hidden="1" customWidth="1"/>
    <col min="19" max="19" width="11.875" style="0" hidden="1" customWidth="1"/>
    <col min="20" max="20" width="14.875" style="0" hidden="1" customWidth="1"/>
    <col min="21" max="23" width="9.125" style="0" customWidth="1"/>
    <col min="24" max="24" width="11.625" style="0" customWidth="1"/>
    <col min="25" max="27" width="9.125" style="0" customWidth="1"/>
    <col min="28" max="28" width="15.125" style="0" customWidth="1"/>
  </cols>
  <sheetData>
    <row r="1" spans="4:8" ht="15">
      <c r="D1" s="84" t="s">
        <v>27</v>
      </c>
      <c r="E1" s="84"/>
      <c r="G1" s="22" t="s">
        <v>69</v>
      </c>
      <c r="H1" s="23"/>
    </row>
    <row r="2" spans="4:8" ht="15">
      <c r="D2" s="84" t="s">
        <v>11</v>
      </c>
      <c r="E2" s="84"/>
      <c r="G2" s="22" t="s">
        <v>11</v>
      </c>
      <c r="H2" s="23"/>
    </row>
    <row r="3" spans="4:8" ht="15">
      <c r="D3" s="84" t="s">
        <v>4</v>
      </c>
      <c r="E3" s="84"/>
      <c r="G3" s="22" t="s">
        <v>4</v>
      </c>
      <c r="H3" s="23"/>
    </row>
    <row r="4" spans="4:8" ht="15" customHeight="1" hidden="1">
      <c r="D4" s="22" t="s">
        <v>5</v>
      </c>
      <c r="E4" s="22"/>
      <c r="G4" s="22" t="s">
        <v>5</v>
      </c>
      <c r="H4" s="23"/>
    </row>
    <row r="5" spans="4:8" ht="15" customHeight="1" hidden="1">
      <c r="D5" s="22" t="s">
        <v>6</v>
      </c>
      <c r="E5" s="22"/>
      <c r="G5" s="22" t="s">
        <v>6</v>
      </c>
      <c r="H5" s="23"/>
    </row>
    <row r="6" spans="4:8" ht="15">
      <c r="D6" s="84" t="s">
        <v>12</v>
      </c>
      <c r="E6" s="84"/>
      <c r="G6" s="22" t="s">
        <v>66</v>
      </c>
      <c r="H6" s="23"/>
    </row>
    <row r="7" spans="2:8" ht="14.25">
      <c r="B7" s="68" t="s">
        <v>28</v>
      </c>
      <c r="C7" s="68"/>
      <c r="D7" s="68"/>
      <c r="E7" s="68"/>
      <c r="F7" s="69"/>
      <c r="G7" s="69"/>
      <c r="H7" s="69"/>
    </row>
    <row r="8" spans="2:8" ht="14.25">
      <c r="B8" s="68" t="s">
        <v>71</v>
      </c>
      <c r="C8" s="68"/>
      <c r="D8" s="68"/>
      <c r="E8" s="68"/>
      <c r="F8" s="69"/>
      <c r="G8" s="69"/>
      <c r="H8" s="69"/>
    </row>
    <row r="9" spans="2:8" ht="9.75" customHeight="1">
      <c r="B9" s="24"/>
      <c r="C9" s="24"/>
      <c r="D9" s="24"/>
      <c r="E9" s="24" t="s">
        <v>29</v>
      </c>
      <c r="F9" s="24"/>
      <c r="G9" s="24"/>
      <c r="H9" s="24"/>
    </row>
    <row r="10" spans="1:11" ht="15.75">
      <c r="A10" s="90" t="s">
        <v>14</v>
      </c>
      <c r="B10" s="8"/>
      <c r="C10" s="79" t="s">
        <v>8</v>
      </c>
      <c r="D10" s="80"/>
      <c r="E10" s="81"/>
      <c r="F10" s="85" t="s">
        <v>70</v>
      </c>
      <c r="G10" s="86"/>
      <c r="H10" s="87"/>
      <c r="I10" s="79" t="s">
        <v>9</v>
      </c>
      <c r="J10" s="80"/>
      <c r="K10" s="81"/>
    </row>
    <row r="11" spans="1:11" ht="15.75">
      <c r="A11" s="91"/>
      <c r="B11" s="9"/>
      <c r="C11" s="10"/>
      <c r="D11" s="82" t="s">
        <v>7</v>
      </c>
      <c r="E11" s="83"/>
      <c r="F11" s="43"/>
      <c r="G11" s="88" t="s">
        <v>7</v>
      </c>
      <c r="H11" s="89"/>
      <c r="I11" s="10"/>
      <c r="J11" s="82" t="s">
        <v>7</v>
      </c>
      <c r="K11" s="83"/>
    </row>
    <row r="12" spans="1:11" ht="15.75">
      <c r="A12" s="91"/>
      <c r="B12" s="11" t="s">
        <v>13</v>
      </c>
      <c r="C12" s="12" t="s">
        <v>0</v>
      </c>
      <c r="D12" s="13" t="s">
        <v>3</v>
      </c>
      <c r="E12" s="13" t="s">
        <v>1</v>
      </c>
      <c r="F12" s="44" t="s">
        <v>0</v>
      </c>
      <c r="G12" s="45" t="s">
        <v>3</v>
      </c>
      <c r="H12" s="45" t="s">
        <v>1</v>
      </c>
      <c r="I12" s="12" t="s">
        <v>0</v>
      </c>
      <c r="J12" s="13" t="s">
        <v>3</v>
      </c>
      <c r="K12" s="13" t="s">
        <v>1</v>
      </c>
    </row>
    <row r="13" spans="1:11" ht="15.75">
      <c r="A13" s="92"/>
      <c r="B13" s="14"/>
      <c r="C13" s="15"/>
      <c r="D13" s="16" t="s">
        <v>2</v>
      </c>
      <c r="E13" s="16" t="s">
        <v>2</v>
      </c>
      <c r="F13" s="46"/>
      <c r="G13" s="47" t="s">
        <v>2</v>
      </c>
      <c r="H13" s="47" t="s">
        <v>2</v>
      </c>
      <c r="I13" s="15"/>
      <c r="J13" s="16" t="s">
        <v>2</v>
      </c>
      <c r="K13" s="16" t="s">
        <v>2</v>
      </c>
    </row>
    <row r="14" spans="1:11" ht="47.25">
      <c r="A14" s="75" t="s">
        <v>15</v>
      </c>
      <c r="B14" s="35" t="s">
        <v>58</v>
      </c>
      <c r="C14" s="29" t="e">
        <f aca="true" t="shared" si="0" ref="C14:C40">D14+E14</f>
        <v>#REF!</v>
      </c>
      <c r="D14" s="29" t="e">
        <f>D15+D16+#REF!+D20</f>
        <v>#REF!</v>
      </c>
      <c r="E14" s="29" t="e">
        <f>E15+E16+#REF!+E20</f>
        <v>#REF!</v>
      </c>
      <c r="F14" s="48">
        <f>G14+H14</f>
        <v>799182.4999999998</v>
      </c>
      <c r="G14" s="48">
        <f>G15+G16+G20+G17+G18+G19</f>
        <v>625655.6999999998</v>
      </c>
      <c r="H14" s="48">
        <f>H15+H16+H20+H17+H18+H19</f>
        <v>173526.8</v>
      </c>
      <c r="I14" s="5" t="e">
        <f aca="true" t="shared" si="1" ref="I14:I49">J14+K14</f>
        <v>#REF!</v>
      </c>
      <c r="J14" s="5" t="e">
        <f>J15+J16+#REF!+J20</f>
        <v>#REF!</v>
      </c>
      <c r="K14" s="5" t="e">
        <f>K15+K16+#REF!+K20</f>
        <v>#REF!</v>
      </c>
    </row>
    <row r="15" spans="1:15" s="1" customFormat="1" ht="33" customHeight="1">
      <c r="A15" s="78"/>
      <c r="B15" s="42" t="s">
        <v>30</v>
      </c>
      <c r="C15" s="26">
        <f t="shared" si="0"/>
        <v>498221.6</v>
      </c>
      <c r="D15" s="26">
        <f>303+25.3+176.8+144.3+577.3+5396.1+150572.5+5622.3+85.9+6077.7+177.2+165585.3+10294.9+4665.3+2850+50625+1332.9+4814.8+380+680+100+5202+5450+581.2</f>
        <v>421719.8</v>
      </c>
      <c r="E15" s="26">
        <v>76501.8</v>
      </c>
      <c r="F15" s="49">
        <f>G15+H15</f>
        <v>748210.8999999999</v>
      </c>
      <c r="G15" s="49">
        <f>11550+174.53+523.67+104+168.2+69+315.6+194.4+1194+20809.4+223425.7+5169.6+267079+9042.5+600+650+150+141.2+500+400+1584+8823.4+17691.4+275+3973.7+600</f>
        <v>575208.2999999999</v>
      </c>
      <c r="H15" s="49">
        <f>99580.3+61175.8+26649.7+38271+5540+1951+126.5+4394.9-9683.6-19377.5+1736-8855.7-17612-549.2-2424.8-2493-801.5-1761.7-878-57-1977.7+2.8+40.2+6.1</f>
        <v>173002.59999999998</v>
      </c>
      <c r="I15" s="5">
        <f t="shared" si="1"/>
        <v>91867</v>
      </c>
      <c r="J15" s="5"/>
      <c r="K15" s="5">
        <f>L15</f>
        <v>91867</v>
      </c>
      <c r="L15" s="1">
        <f>79732.3+1700+2434.7+8000</f>
        <v>91867</v>
      </c>
      <c r="M15" s="21">
        <f>91867+3300+2500+70+62</f>
        <v>97799</v>
      </c>
      <c r="N15" s="1">
        <f>350+153450.3+480+183244.6+130+100+698.1+458.1+17769+7390.7+353.1+540</f>
        <v>364963.89999999997</v>
      </c>
      <c r="O15" s="1">
        <f>20000+9706+320+10000+55+4855.8+16000+945+80+5220</f>
        <v>67181.8</v>
      </c>
    </row>
    <row r="16" spans="1:14" ht="42" customHeight="1" hidden="1">
      <c r="A16" s="78"/>
      <c r="B16" s="55" t="s">
        <v>31</v>
      </c>
      <c r="C16" s="26">
        <f t="shared" si="0"/>
        <v>181000</v>
      </c>
      <c r="D16" s="26">
        <v>180000</v>
      </c>
      <c r="E16" s="26">
        <v>1000</v>
      </c>
      <c r="F16" s="49">
        <f>G16+H16</f>
        <v>0</v>
      </c>
      <c r="G16" s="49">
        <v>0</v>
      </c>
      <c r="H16" s="49">
        <v>0</v>
      </c>
      <c r="I16" s="5">
        <f t="shared" si="1"/>
        <v>1000</v>
      </c>
      <c r="J16" s="5"/>
      <c r="K16" s="5">
        <f>500+500</f>
        <v>1000</v>
      </c>
      <c r="N16">
        <v>0</v>
      </c>
    </row>
    <row r="17" spans="1:11" ht="39" customHeight="1">
      <c r="A17" s="78"/>
      <c r="B17" s="56" t="s">
        <v>38</v>
      </c>
      <c r="C17" s="26"/>
      <c r="D17" s="26"/>
      <c r="E17" s="26"/>
      <c r="F17" s="49">
        <f aca="true" t="shared" si="2" ref="F17:F24">G17+H17</f>
        <v>42409.2</v>
      </c>
      <c r="G17" s="49">
        <f>6930+22955.7+12000</f>
        <v>41885.7</v>
      </c>
      <c r="H17" s="49">
        <f>100+70+231.9+121.6</f>
        <v>523.5</v>
      </c>
      <c r="I17" s="5"/>
      <c r="J17" s="5"/>
      <c r="K17" s="5"/>
    </row>
    <row r="18" spans="1:11" ht="36" customHeight="1">
      <c r="A18" s="78"/>
      <c r="B18" s="40" t="s">
        <v>68</v>
      </c>
      <c r="C18" s="26"/>
      <c r="D18" s="26"/>
      <c r="E18" s="26"/>
      <c r="F18" s="49">
        <f>G18+H18</f>
        <v>398</v>
      </c>
      <c r="G18" s="49">
        <v>398</v>
      </c>
      <c r="H18" s="49">
        <v>0</v>
      </c>
      <c r="I18" s="5"/>
      <c r="J18" s="5"/>
      <c r="K18" s="5"/>
    </row>
    <row r="19" spans="1:11" ht="36" customHeight="1">
      <c r="A19" s="78"/>
      <c r="B19" s="40" t="s">
        <v>26</v>
      </c>
      <c r="C19" s="26"/>
      <c r="D19" s="26"/>
      <c r="E19" s="26"/>
      <c r="F19" s="62">
        <f>G19+H19</f>
        <v>64.4</v>
      </c>
      <c r="G19" s="62">
        <v>63.7</v>
      </c>
      <c r="H19" s="62">
        <v>0.7</v>
      </c>
      <c r="I19" s="5"/>
      <c r="J19" s="5"/>
      <c r="K19" s="5"/>
    </row>
    <row r="20" spans="1:11" ht="53.25" customHeight="1">
      <c r="A20" s="77"/>
      <c r="B20" s="42" t="s">
        <v>67</v>
      </c>
      <c r="C20" s="26">
        <f t="shared" si="0"/>
        <v>32293.1</v>
      </c>
      <c r="D20" s="26">
        <f>4680+925.6+24287+1200+1190</f>
        <v>32282.6</v>
      </c>
      <c r="E20" s="26">
        <v>10.5</v>
      </c>
      <c r="F20" s="49">
        <f t="shared" si="2"/>
        <v>8100</v>
      </c>
      <c r="G20" s="49">
        <f>8100</f>
        <v>8100</v>
      </c>
      <c r="H20" s="49">
        <v>0</v>
      </c>
      <c r="I20" s="5">
        <f t="shared" si="1"/>
        <v>11.2</v>
      </c>
      <c r="J20" s="5"/>
      <c r="K20" s="5">
        <f>11.2</f>
        <v>11.2</v>
      </c>
    </row>
    <row r="21" spans="1:11" ht="48.75" customHeight="1">
      <c r="A21" s="75" t="s">
        <v>16</v>
      </c>
      <c r="B21" s="36" t="s">
        <v>45</v>
      </c>
      <c r="C21" s="30">
        <f t="shared" si="0"/>
        <v>1680</v>
      </c>
      <c r="D21" s="29">
        <f>D29</f>
        <v>0</v>
      </c>
      <c r="E21" s="29">
        <f>E29</f>
        <v>1680</v>
      </c>
      <c r="F21" s="48">
        <f t="shared" si="2"/>
        <v>8549.599999999999</v>
      </c>
      <c r="G21" s="48">
        <f>G23+G29+G22+G26+G24+G27</f>
        <v>5559.599999999999</v>
      </c>
      <c r="H21" s="48">
        <f>H23+H29+H22+H25+H26+H27+H28+H24</f>
        <v>2990</v>
      </c>
      <c r="I21" s="5">
        <f>I23+I29+I22+I26</f>
        <v>2149.5</v>
      </c>
      <c r="J21" s="5">
        <f>J23+J29+J22</f>
        <v>0</v>
      </c>
      <c r="K21" s="5">
        <f>K23+K29+K22+K25+K26</f>
        <v>2173.5</v>
      </c>
    </row>
    <row r="22" spans="1:11" ht="32.25" customHeight="1">
      <c r="A22" s="76"/>
      <c r="B22" s="40" t="s">
        <v>38</v>
      </c>
      <c r="C22" s="25"/>
      <c r="D22" s="26"/>
      <c r="E22" s="26"/>
      <c r="F22" s="50">
        <f t="shared" si="2"/>
        <v>0</v>
      </c>
      <c r="G22" s="49">
        <v>0</v>
      </c>
      <c r="H22" s="49">
        <v>0</v>
      </c>
      <c r="I22" s="3">
        <f>J22+K22</f>
        <v>16</v>
      </c>
      <c r="J22" s="5">
        <v>0</v>
      </c>
      <c r="K22" s="5">
        <v>16</v>
      </c>
    </row>
    <row r="23" spans="1:15" ht="33" customHeight="1">
      <c r="A23" s="76"/>
      <c r="B23" s="42" t="s">
        <v>30</v>
      </c>
      <c r="C23" s="25"/>
      <c r="D23" s="26"/>
      <c r="E23" s="26"/>
      <c r="F23" s="50">
        <f t="shared" si="2"/>
        <v>5220.599999999999</v>
      </c>
      <c r="G23" s="49">
        <f>4849.9+370.7</f>
        <v>5220.599999999999</v>
      </c>
      <c r="H23" s="49">
        <v>0</v>
      </c>
      <c r="I23" s="3">
        <f>J23+K23</f>
        <v>96.5</v>
      </c>
      <c r="J23" s="5">
        <v>0</v>
      </c>
      <c r="K23" s="5">
        <f>54.5+42</f>
        <v>96.5</v>
      </c>
      <c r="N23">
        <f>5180.6+136.4</f>
        <v>5317</v>
      </c>
      <c r="O23">
        <f>50+42</f>
        <v>92</v>
      </c>
    </row>
    <row r="24" spans="1:11" ht="39.75" customHeight="1" hidden="1">
      <c r="A24" s="76"/>
      <c r="B24" s="42" t="s">
        <v>32</v>
      </c>
      <c r="C24" s="25"/>
      <c r="D24" s="26"/>
      <c r="E24" s="26"/>
      <c r="F24" s="50">
        <f t="shared" si="2"/>
        <v>0</v>
      </c>
      <c r="G24" s="49">
        <v>0</v>
      </c>
      <c r="H24" s="49">
        <v>0</v>
      </c>
      <c r="I24" s="3"/>
      <c r="J24" s="5"/>
      <c r="K24" s="5"/>
    </row>
    <row r="25" spans="1:11" ht="21.75" customHeight="1">
      <c r="A25" s="76"/>
      <c r="B25" s="42" t="s">
        <v>26</v>
      </c>
      <c r="C25" s="25"/>
      <c r="D25" s="26"/>
      <c r="E25" s="26"/>
      <c r="F25" s="50">
        <f>H25</f>
        <v>2471</v>
      </c>
      <c r="G25" s="49"/>
      <c r="H25" s="49">
        <f>779+637+180+95+780</f>
        <v>2471</v>
      </c>
      <c r="I25" s="3">
        <f>J25+K25</f>
        <v>24</v>
      </c>
      <c r="J25" s="5">
        <v>0</v>
      </c>
      <c r="K25" s="5">
        <v>24</v>
      </c>
    </row>
    <row r="26" spans="1:14" ht="34.5" customHeight="1">
      <c r="A26" s="76"/>
      <c r="B26" s="40" t="s">
        <v>68</v>
      </c>
      <c r="C26" s="25"/>
      <c r="D26" s="26"/>
      <c r="E26" s="26"/>
      <c r="F26" s="50">
        <f>G26+H26</f>
        <v>858</v>
      </c>
      <c r="G26" s="49">
        <f>339</f>
        <v>339</v>
      </c>
      <c r="H26" s="49">
        <f>156+363</f>
        <v>519</v>
      </c>
      <c r="I26" s="3">
        <f>J26+K26</f>
        <v>357</v>
      </c>
      <c r="J26" s="5">
        <v>0</v>
      </c>
      <c r="K26" s="5">
        <v>357</v>
      </c>
      <c r="N26">
        <v>0</v>
      </c>
    </row>
    <row r="27" spans="1:11" ht="54.75" customHeight="1">
      <c r="A27" s="76"/>
      <c r="B27" s="42" t="s">
        <v>67</v>
      </c>
      <c r="C27" s="25"/>
      <c r="D27" s="26"/>
      <c r="E27" s="26"/>
      <c r="F27" s="50">
        <f>G27+H27</f>
        <v>0</v>
      </c>
      <c r="G27" s="49">
        <v>0</v>
      </c>
      <c r="H27" s="49"/>
      <c r="I27" s="3"/>
      <c r="J27" s="5"/>
      <c r="K27" s="5"/>
    </row>
    <row r="28" spans="1:11" ht="34.5" customHeight="1" hidden="1">
      <c r="A28" s="76"/>
      <c r="B28" s="42" t="s">
        <v>31</v>
      </c>
      <c r="C28" s="25"/>
      <c r="D28" s="26"/>
      <c r="E28" s="26"/>
      <c r="F28" s="50">
        <v>0</v>
      </c>
      <c r="G28" s="49"/>
      <c r="H28" s="49">
        <v>0</v>
      </c>
      <c r="I28" s="3"/>
      <c r="J28" s="5"/>
      <c r="K28" s="5"/>
    </row>
    <row r="29" spans="1:11" ht="30.75" customHeight="1" hidden="1">
      <c r="A29" s="78"/>
      <c r="B29" s="42" t="s">
        <v>33</v>
      </c>
      <c r="C29" s="25">
        <f t="shared" si="0"/>
        <v>1680</v>
      </c>
      <c r="D29" s="26">
        <v>0</v>
      </c>
      <c r="E29" s="26">
        <v>1680</v>
      </c>
      <c r="F29" s="50">
        <f>H29</f>
        <v>0</v>
      </c>
      <c r="G29" s="49">
        <v>0</v>
      </c>
      <c r="H29" s="49">
        <v>0</v>
      </c>
      <c r="I29" s="3">
        <f t="shared" si="1"/>
        <v>1680</v>
      </c>
      <c r="J29" s="5">
        <v>0</v>
      </c>
      <c r="K29" s="5">
        <v>1680</v>
      </c>
    </row>
    <row r="30" spans="1:11" ht="47.25">
      <c r="A30" s="75" t="s">
        <v>17</v>
      </c>
      <c r="B30" s="36" t="s">
        <v>59</v>
      </c>
      <c r="C30" s="26">
        <f t="shared" si="0"/>
        <v>323323.39999999997</v>
      </c>
      <c r="D30" s="26">
        <f>D31+D32+D33</f>
        <v>316715.8</v>
      </c>
      <c r="E30" s="26">
        <f>E31+E32+E33</f>
        <v>6607.6</v>
      </c>
      <c r="F30" s="48">
        <f aca="true" t="shared" si="3" ref="F30:F36">G30+H30</f>
        <v>182210.19999999998</v>
      </c>
      <c r="G30" s="48">
        <f>G31+G32+G33</f>
        <v>176130.9</v>
      </c>
      <c r="H30" s="48">
        <f>H31+H32+H33</f>
        <v>6079.300000000001</v>
      </c>
      <c r="I30" s="5">
        <f t="shared" si="1"/>
        <v>12198.5</v>
      </c>
      <c r="J30" s="5">
        <f>J31+J32+J33</f>
        <v>0</v>
      </c>
      <c r="K30" s="5">
        <f>K31+K32+K33</f>
        <v>12198.5</v>
      </c>
    </row>
    <row r="31" spans="1:14" ht="54" customHeight="1">
      <c r="A31" s="78"/>
      <c r="B31" s="42" t="s">
        <v>67</v>
      </c>
      <c r="C31" s="26">
        <f t="shared" si="0"/>
        <v>2150</v>
      </c>
      <c r="D31" s="26">
        <v>0</v>
      </c>
      <c r="E31" s="26">
        <v>2150</v>
      </c>
      <c r="F31" s="49">
        <f t="shared" si="3"/>
        <v>6641.1</v>
      </c>
      <c r="G31" s="49">
        <f>3574.9+2999.7</f>
        <v>6574.6</v>
      </c>
      <c r="H31" s="49">
        <f>36.2+30.3</f>
        <v>66.5</v>
      </c>
      <c r="I31" s="5">
        <f t="shared" si="1"/>
        <v>2608</v>
      </c>
      <c r="J31" s="5"/>
      <c r="K31" s="5">
        <f>L31</f>
        <v>2608</v>
      </c>
      <c r="L31">
        <f>2150+458</f>
        <v>2608</v>
      </c>
      <c r="N31">
        <v>0</v>
      </c>
    </row>
    <row r="32" spans="1:15" ht="30" customHeight="1">
      <c r="A32" s="78"/>
      <c r="B32" s="56" t="s">
        <v>38</v>
      </c>
      <c r="C32" s="26">
        <f t="shared" si="0"/>
        <v>314837.6</v>
      </c>
      <c r="D32" s="26">
        <f>1000+127587.2+136876.6+35932.7+9319.3</f>
        <v>310715.8</v>
      </c>
      <c r="E32" s="26">
        <v>4121.8</v>
      </c>
      <c r="F32" s="49">
        <f t="shared" si="3"/>
        <v>175569.09999999998</v>
      </c>
      <c r="G32" s="49">
        <f>693+28343.1+1735.3+138784.9</f>
        <v>169556.3</v>
      </c>
      <c r="H32" s="49">
        <f>2700+1000+300+300+7+286.3+17.6+1401.9</f>
        <v>6012.800000000001</v>
      </c>
      <c r="I32" s="5">
        <f t="shared" si="1"/>
        <v>9590.5</v>
      </c>
      <c r="J32" s="5"/>
      <c r="K32" s="5">
        <f>1000+7424.4+1000+166.1</f>
        <v>9590.5</v>
      </c>
      <c r="N32">
        <f>19000+1764.6</f>
        <v>20764.6</v>
      </c>
      <c r="O32">
        <f>218+18</f>
        <v>236</v>
      </c>
    </row>
    <row r="33" spans="1:11" ht="39" customHeight="1" hidden="1">
      <c r="A33" s="77"/>
      <c r="B33" s="56" t="s">
        <v>38</v>
      </c>
      <c r="C33" s="26">
        <f t="shared" si="0"/>
        <v>6335.8</v>
      </c>
      <c r="D33" s="26">
        <v>6000</v>
      </c>
      <c r="E33" s="26">
        <v>335.8</v>
      </c>
      <c r="F33" s="49">
        <f t="shared" si="3"/>
        <v>0</v>
      </c>
      <c r="G33" s="49">
        <v>0</v>
      </c>
      <c r="H33" s="49">
        <v>0</v>
      </c>
      <c r="I33" s="5">
        <f t="shared" si="1"/>
        <v>0</v>
      </c>
      <c r="J33" s="5"/>
      <c r="K33" s="5">
        <v>0</v>
      </c>
    </row>
    <row r="34" spans="1:11" ht="69" customHeight="1">
      <c r="A34" s="75" t="s">
        <v>18</v>
      </c>
      <c r="B34" s="37" t="s">
        <v>60</v>
      </c>
      <c r="C34" s="25" t="e">
        <f t="shared" si="0"/>
        <v>#REF!</v>
      </c>
      <c r="D34" s="26" t="e">
        <f>#REF!+D36+D37+D38</f>
        <v>#REF!</v>
      </c>
      <c r="E34" s="26" t="e">
        <f>#REF!+E36+E37+E38</f>
        <v>#REF!</v>
      </c>
      <c r="F34" s="51">
        <f t="shared" si="3"/>
        <v>668382.0000000001</v>
      </c>
      <c r="G34" s="48">
        <f>G35+G36+G37+G38+G39</f>
        <v>636086.7000000001</v>
      </c>
      <c r="H34" s="48">
        <f>H35+H36+H37+H38+H39</f>
        <v>32295.299999999996</v>
      </c>
      <c r="I34" s="3" t="e">
        <f t="shared" si="1"/>
        <v>#REF!</v>
      </c>
      <c r="J34" s="5" t="e">
        <f>#REF!+J36+J37+J38</f>
        <v>#REF!</v>
      </c>
      <c r="K34" s="5" t="e">
        <f>#REF!+K36+K37+K38+K35</f>
        <v>#REF!</v>
      </c>
    </row>
    <row r="35" spans="1:11" ht="16.5" customHeight="1">
      <c r="A35" s="76"/>
      <c r="B35" s="42" t="s">
        <v>26</v>
      </c>
      <c r="C35" s="25"/>
      <c r="D35" s="26"/>
      <c r="E35" s="26"/>
      <c r="F35" s="50">
        <f t="shared" si="3"/>
        <v>1500</v>
      </c>
      <c r="G35" s="49"/>
      <c r="H35" s="49">
        <v>1500</v>
      </c>
      <c r="I35" s="3">
        <f>J35+K35</f>
        <v>4900</v>
      </c>
      <c r="J35" s="5"/>
      <c r="K35" s="5">
        <v>4900</v>
      </c>
    </row>
    <row r="36" spans="1:14" ht="31.5" hidden="1">
      <c r="A36" s="78"/>
      <c r="B36" s="56" t="s">
        <v>36</v>
      </c>
      <c r="C36" s="25">
        <f t="shared" si="0"/>
        <v>6585</v>
      </c>
      <c r="D36" s="26"/>
      <c r="E36" s="26">
        <v>6585</v>
      </c>
      <c r="F36" s="50">
        <f t="shared" si="3"/>
        <v>0</v>
      </c>
      <c r="G36" s="49"/>
      <c r="H36" s="49">
        <v>0</v>
      </c>
      <c r="I36" s="3">
        <f t="shared" si="1"/>
        <v>2860</v>
      </c>
      <c r="J36" s="5"/>
      <c r="K36" s="5">
        <f>L36</f>
        <v>2860</v>
      </c>
      <c r="L36">
        <f>2660+200</f>
        <v>2860</v>
      </c>
      <c r="N36">
        <v>0</v>
      </c>
    </row>
    <row r="37" spans="1:14" ht="45" customHeight="1" hidden="1">
      <c r="A37" s="78"/>
      <c r="B37" s="40" t="s">
        <v>37</v>
      </c>
      <c r="C37" s="25">
        <f t="shared" si="0"/>
        <v>3145</v>
      </c>
      <c r="D37" s="26"/>
      <c r="E37" s="26">
        <v>3145</v>
      </c>
      <c r="F37" s="50">
        <f>H37</f>
        <v>0</v>
      </c>
      <c r="G37" s="49"/>
      <c r="H37" s="49">
        <v>0</v>
      </c>
      <c r="I37" s="3">
        <f t="shared" si="1"/>
        <v>683</v>
      </c>
      <c r="J37" s="5"/>
      <c r="K37" s="5">
        <f>330+129+128+96</f>
        <v>683</v>
      </c>
      <c r="N37">
        <v>0</v>
      </c>
    </row>
    <row r="38" spans="1:15" ht="34.5" customHeight="1">
      <c r="A38" s="78"/>
      <c r="B38" s="56" t="s">
        <v>38</v>
      </c>
      <c r="C38" s="25">
        <f t="shared" si="0"/>
        <v>1007628.6</v>
      </c>
      <c r="D38" s="26">
        <f>118941.9+56841+800000</f>
        <v>975782.9</v>
      </c>
      <c r="E38" s="26">
        <v>31845.7</v>
      </c>
      <c r="F38" s="50">
        <f>G38+H38</f>
        <v>643035.4</v>
      </c>
      <c r="G38" s="49">
        <f>999.8+27155.6+14600+37132.6+2155+9160+344861.4+82458.5+97515-3600</f>
        <v>612437.9</v>
      </c>
      <c r="H38" s="49">
        <f>11780.6+20453+4060+2380+6980.6+1000-10000-1273-3980.6-9380.6-1000+60+2700+600+274.3+147.5+416.2+21.8+92.6+3483.5+833+985-36.4</f>
        <v>30597.499999999996</v>
      </c>
      <c r="I38" s="3">
        <f t="shared" si="1"/>
        <v>15036.4</v>
      </c>
      <c r="J38" s="5"/>
      <c r="K38" s="5">
        <f>L38</f>
        <v>15036.4</v>
      </c>
      <c r="L38">
        <f>13036.4+2000</f>
        <v>15036.4</v>
      </c>
      <c r="M38">
        <f>15036.4+2000</f>
        <v>17036.4</v>
      </c>
      <c r="N38">
        <f>39130.7+900</f>
        <v>40030.7</v>
      </c>
      <c r="O38">
        <f>7825+400+17800+3100+1350</f>
        <v>30475</v>
      </c>
    </row>
    <row r="39" spans="1:14" ht="49.5" customHeight="1">
      <c r="A39" s="27"/>
      <c r="B39" s="42" t="s">
        <v>67</v>
      </c>
      <c r="C39" s="28"/>
      <c r="D39" s="26"/>
      <c r="E39" s="26"/>
      <c r="F39" s="41">
        <f>G39+H39</f>
        <v>23846.6</v>
      </c>
      <c r="G39" s="49">
        <f>20048.8+3600</f>
        <v>23648.8</v>
      </c>
      <c r="H39" s="49">
        <f>161.4+36.4</f>
        <v>197.8</v>
      </c>
      <c r="I39" s="2"/>
      <c r="J39" s="5"/>
      <c r="K39" s="5"/>
      <c r="N39">
        <v>0</v>
      </c>
    </row>
    <row r="40" spans="1:11" ht="67.5" customHeight="1">
      <c r="A40" s="75" t="s">
        <v>19</v>
      </c>
      <c r="B40" s="37" t="s">
        <v>46</v>
      </c>
      <c r="C40" s="28">
        <f t="shared" si="0"/>
        <v>8914.2</v>
      </c>
      <c r="D40" s="26">
        <f>D41+D42+D44+D45+D46+D48+D43</f>
        <v>7490.2</v>
      </c>
      <c r="E40" s="26">
        <f>E41+E42+E44+E45+E46+E48+E43</f>
        <v>1424</v>
      </c>
      <c r="F40" s="52">
        <f>G40+H40</f>
        <v>799</v>
      </c>
      <c r="G40" s="48">
        <f>G41+G42+G44+G45+G46+G48+G43+G47</f>
        <v>0</v>
      </c>
      <c r="H40" s="48">
        <f>H41+H42+H44+H45+H46+H48+H43+H47</f>
        <v>799</v>
      </c>
      <c r="I40" s="2">
        <f t="shared" si="1"/>
        <v>4211.8</v>
      </c>
      <c r="J40" s="5">
        <f>J41+J42+J44+J45+J46+J48+J43</f>
        <v>0</v>
      </c>
      <c r="K40" s="5">
        <f>K41+K42+K44+K45+K46+K48+K43</f>
        <v>4211.8</v>
      </c>
    </row>
    <row r="41" spans="1:15" ht="23.25" customHeight="1">
      <c r="A41" s="78"/>
      <c r="B41" s="42" t="s">
        <v>26</v>
      </c>
      <c r="C41" s="25">
        <f aca="true" t="shared" si="4" ref="C41:C46">D41+E41</f>
        <v>118</v>
      </c>
      <c r="D41" s="26"/>
      <c r="E41" s="26">
        <v>118</v>
      </c>
      <c r="F41" s="50">
        <f>H41</f>
        <v>554</v>
      </c>
      <c r="G41" s="49">
        <v>0</v>
      </c>
      <c r="H41" s="49">
        <f>160+46+200+120+9+10+9</f>
        <v>554</v>
      </c>
      <c r="I41" s="3">
        <f t="shared" si="1"/>
        <v>118</v>
      </c>
      <c r="J41" s="5"/>
      <c r="K41" s="5">
        <f>100+5+8+5</f>
        <v>118</v>
      </c>
      <c r="O41">
        <f>118+50</f>
        <v>168</v>
      </c>
    </row>
    <row r="42" spans="1:11" ht="51" customHeight="1">
      <c r="A42" s="78"/>
      <c r="B42" s="42" t="s">
        <v>67</v>
      </c>
      <c r="C42" s="25">
        <f t="shared" si="4"/>
        <v>585</v>
      </c>
      <c r="D42" s="26"/>
      <c r="E42" s="26">
        <v>585</v>
      </c>
      <c r="F42" s="50">
        <f>H42</f>
        <v>0</v>
      </c>
      <c r="G42" s="49"/>
      <c r="H42" s="49">
        <v>0</v>
      </c>
      <c r="I42" s="3">
        <f t="shared" si="1"/>
        <v>585</v>
      </c>
      <c r="J42" s="5"/>
      <c r="K42" s="5">
        <f>585</f>
        <v>585</v>
      </c>
    </row>
    <row r="43" spans="1:15" ht="34.5" customHeight="1">
      <c r="A43" s="78"/>
      <c r="B43" s="42" t="s">
        <v>30</v>
      </c>
      <c r="C43" s="25">
        <f>D43+E43</f>
        <v>20</v>
      </c>
      <c r="D43" s="26"/>
      <c r="E43" s="26">
        <v>20</v>
      </c>
      <c r="F43" s="50">
        <f>G43+H43</f>
        <v>25</v>
      </c>
      <c r="G43" s="49"/>
      <c r="H43" s="49">
        <f>10+15</f>
        <v>25</v>
      </c>
      <c r="I43" s="3">
        <f t="shared" si="1"/>
        <v>20</v>
      </c>
      <c r="J43" s="5"/>
      <c r="K43" s="5">
        <f>15+5</f>
        <v>20</v>
      </c>
      <c r="O43">
        <f>15+5</f>
        <v>20</v>
      </c>
    </row>
    <row r="44" spans="1:15" ht="39" customHeight="1" hidden="1">
      <c r="A44" s="78"/>
      <c r="B44" s="42" t="s">
        <v>31</v>
      </c>
      <c r="C44" s="25">
        <f t="shared" si="4"/>
        <v>500</v>
      </c>
      <c r="D44" s="26"/>
      <c r="E44" s="26">
        <v>500</v>
      </c>
      <c r="F44" s="50">
        <f>G44+H44</f>
        <v>0</v>
      </c>
      <c r="G44" s="49">
        <v>0</v>
      </c>
      <c r="H44" s="49">
        <f>R44</f>
        <v>0</v>
      </c>
      <c r="I44" s="3">
        <f t="shared" si="1"/>
        <v>3371.3</v>
      </c>
      <c r="J44" s="5"/>
      <c r="K44" s="5">
        <f>L44</f>
        <v>3371.3</v>
      </c>
      <c r="L44">
        <f>871.3+1500+1000</f>
        <v>3371.3</v>
      </c>
      <c r="M44">
        <f>3371.3-2020-101</f>
        <v>1250.3000000000002</v>
      </c>
      <c r="O44">
        <f>500+500-100</f>
        <v>900</v>
      </c>
    </row>
    <row r="45" spans="1:11" ht="38.25" customHeight="1">
      <c r="A45" s="78"/>
      <c r="B45" s="40" t="s">
        <v>68</v>
      </c>
      <c r="C45" s="25">
        <f t="shared" si="4"/>
        <v>50.5</v>
      </c>
      <c r="D45" s="26"/>
      <c r="E45" s="26">
        <v>50.5</v>
      </c>
      <c r="F45" s="50">
        <f>G45+H45</f>
        <v>220</v>
      </c>
      <c r="G45" s="49"/>
      <c r="H45" s="49">
        <v>220</v>
      </c>
      <c r="I45" s="3">
        <f t="shared" si="1"/>
        <v>52.5</v>
      </c>
      <c r="J45" s="5"/>
      <c r="K45" s="5">
        <v>52.5</v>
      </c>
    </row>
    <row r="46" spans="1:11" ht="25.5" customHeight="1" hidden="1">
      <c r="A46" s="78"/>
      <c r="B46" s="42" t="s">
        <v>32</v>
      </c>
      <c r="C46" s="25">
        <f t="shared" si="4"/>
        <v>150.5</v>
      </c>
      <c r="D46" s="26"/>
      <c r="E46" s="26">
        <v>150.5</v>
      </c>
      <c r="F46" s="50">
        <f>H46</f>
        <v>0</v>
      </c>
      <c r="G46" s="49"/>
      <c r="H46" s="49">
        <v>0</v>
      </c>
      <c r="I46" s="3">
        <f t="shared" si="1"/>
        <v>65</v>
      </c>
      <c r="J46" s="5"/>
      <c r="K46" s="5">
        <v>65</v>
      </c>
    </row>
    <row r="47" spans="1:18" ht="33.75" customHeight="1" hidden="1">
      <c r="A47" s="78"/>
      <c r="B47" s="42" t="s">
        <v>35</v>
      </c>
      <c r="C47" s="28"/>
      <c r="D47" s="26"/>
      <c r="E47" s="26"/>
      <c r="F47" s="41">
        <f>G47+H47</f>
        <v>0</v>
      </c>
      <c r="G47" s="49"/>
      <c r="H47" s="49">
        <v>0</v>
      </c>
      <c r="I47" s="2"/>
      <c r="J47" s="5"/>
      <c r="K47" s="5"/>
      <c r="R47" s="33"/>
    </row>
    <row r="48" spans="1:11" ht="31.5" customHeight="1" hidden="1">
      <c r="A48" s="78"/>
      <c r="B48" s="40" t="s">
        <v>38</v>
      </c>
      <c r="C48" s="28">
        <f>D48+E48</f>
        <v>7490.2</v>
      </c>
      <c r="D48" s="26">
        <v>7490.2</v>
      </c>
      <c r="E48" s="26">
        <v>0</v>
      </c>
      <c r="F48" s="41">
        <f>G48+H48</f>
        <v>0</v>
      </c>
      <c r="G48" s="49">
        <v>0</v>
      </c>
      <c r="H48" s="49">
        <v>0</v>
      </c>
      <c r="I48" s="2">
        <f t="shared" si="1"/>
        <v>0</v>
      </c>
      <c r="J48" s="5"/>
      <c r="K48" s="5"/>
    </row>
    <row r="49" spans="1:11" ht="47.25">
      <c r="A49" s="93" t="s">
        <v>20</v>
      </c>
      <c r="B49" s="37" t="s">
        <v>61</v>
      </c>
      <c r="C49" s="28">
        <f>D49+E49</f>
        <v>155663.80000000002</v>
      </c>
      <c r="D49" s="25">
        <f>D51+D52</f>
        <v>17795.1</v>
      </c>
      <c r="E49" s="25">
        <f>E51+E52</f>
        <v>137868.7</v>
      </c>
      <c r="F49" s="52">
        <f>G49+H49</f>
        <v>196769.9</v>
      </c>
      <c r="G49" s="51">
        <f>G50+G51+G52+G54</f>
        <v>633.7</v>
      </c>
      <c r="H49" s="51">
        <f>H50+H51+H52+H54</f>
        <v>196136.19999999998</v>
      </c>
      <c r="I49" s="17">
        <f t="shared" si="1"/>
        <v>113722</v>
      </c>
      <c r="J49" s="18">
        <f>J51+J52</f>
        <v>0</v>
      </c>
      <c r="K49" s="18">
        <f>K51+K52</f>
        <v>113722</v>
      </c>
    </row>
    <row r="50" spans="1:11" ht="31.5" hidden="1">
      <c r="A50" s="78"/>
      <c r="B50" s="42" t="s">
        <v>31</v>
      </c>
      <c r="C50" s="28"/>
      <c r="D50" s="25"/>
      <c r="E50" s="25"/>
      <c r="F50" s="41">
        <f>G50+H50</f>
        <v>0</v>
      </c>
      <c r="G50" s="50">
        <v>0</v>
      </c>
      <c r="H50" s="50">
        <v>0</v>
      </c>
      <c r="I50" s="2"/>
      <c r="J50" s="3"/>
      <c r="K50" s="3"/>
    </row>
    <row r="51" spans="1:15" ht="31.5" customHeight="1">
      <c r="A51" s="78"/>
      <c r="B51" s="40" t="s">
        <v>72</v>
      </c>
      <c r="C51" s="28">
        <f>E51+D51</f>
        <v>155463.80000000002</v>
      </c>
      <c r="D51" s="25">
        <f>17143.5+160+160+280+51.6</f>
        <v>17795.1</v>
      </c>
      <c r="E51" s="25">
        <v>137668.7</v>
      </c>
      <c r="F51" s="41">
        <f>H51+G51</f>
        <v>196769.9</v>
      </c>
      <c r="G51" s="50">
        <f>174.6+125.1+66+86+96+86</f>
        <v>633.7</v>
      </c>
      <c r="H51" s="50">
        <f>47266+80552+15383+50059+65740+3786-1159-2879-1346-3905.6-1037.5-1472-2520-6732-1538.5-4785.8-225-1703.7-275-33027-4043.7</f>
        <v>196136.19999999998</v>
      </c>
      <c r="I51" s="2">
        <f>K51+J51</f>
        <v>113502</v>
      </c>
      <c r="J51" s="3"/>
      <c r="K51" s="3">
        <f>L51</f>
        <v>113502</v>
      </c>
      <c r="L51">
        <f>89502+3000+1000+5000+15000</f>
        <v>113502</v>
      </c>
      <c r="M51">
        <f>113502+310+860+362+12</f>
        <v>115046</v>
      </c>
      <c r="N51">
        <f>40+250+40+60+174.6</f>
        <v>564.6</v>
      </c>
      <c r="O51">
        <f>30000+29400+7720+49810+600</f>
        <v>117530</v>
      </c>
    </row>
    <row r="52" spans="1:11" ht="38.25" customHeight="1">
      <c r="A52" s="77"/>
      <c r="B52" s="40" t="s">
        <v>38</v>
      </c>
      <c r="C52" s="28">
        <f>E52+D52</f>
        <v>200</v>
      </c>
      <c r="D52" s="25">
        <v>0</v>
      </c>
      <c r="E52" s="25">
        <v>200</v>
      </c>
      <c r="F52" s="41">
        <f>H52+G52</f>
        <v>0</v>
      </c>
      <c r="G52" s="50">
        <f>7054.7-4282.7-2772</f>
        <v>0</v>
      </c>
      <c r="H52" s="50">
        <v>0</v>
      </c>
      <c r="I52" s="2">
        <f>K52+J52</f>
        <v>220</v>
      </c>
      <c r="J52" s="3"/>
      <c r="K52" s="3">
        <v>220</v>
      </c>
    </row>
    <row r="53" spans="1:11" ht="28.5" customHeight="1" hidden="1">
      <c r="A53" s="27"/>
      <c r="B53" s="42"/>
      <c r="C53" s="28">
        <f>E53+D53</f>
        <v>200</v>
      </c>
      <c r="D53" s="25">
        <v>0</v>
      </c>
      <c r="E53" s="25">
        <v>200</v>
      </c>
      <c r="F53" s="41">
        <f>H53+G53</f>
        <v>0</v>
      </c>
      <c r="G53" s="50"/>
      <c r="H53" s="50">
        <v>0</v>
      </c>
      <c r="I53" s="2">
        <f>K53+J53</f>
        <v>0</v>
      </c>
      <c r="J53" s="3"/>
      <c r="K53" s="3">
        <v>0</v>
      </c>
    </row>
    <row r="54" spans="1:11" ht="46.5" customHeight="1">
      <c r="A54" s="32"/>
      <c r="B54" s="42" t="s">
        <v>67</v>
      </c>
      <c r="C54" s="28"/>
      <c r="D54" s="25"/>
      <c r="E54" s="25"/>
      <c r="F54" s="41">
        <f>G54+H54</f>
        <v>0</v>
      </c>
      <c r="G54" s="50"/>
      <c r="H54" s="50">
        <v>0</v>
      </c>
      <c r="I54" s="2"/>
      <c r="J54" s="3"/>
      <c r="K54" s="3"/>
    </row>
    <row r="55" spans="1:11" ht="63" customHeight="1">
      <c r="A55" s="75" t="s">
        <v>21</v>
      </c>
      <c r="B55" s="35" t="s">
        <v>62</v>
      </c>
      <c r="C55" s="28">
        <f aca="true" t="shared" si="5" ref="C55:C62">D55+E55</f>
        <v>45453.299999999996</v>
      </c>
      <c r="D55" s="25">
        <f>D56+D58+D59+D60</f>
        <v>6876.2</v>
      </c>
      <c r="E55" s="25">
        <f>E56+E58+E59+E60</f>
        <v>38577.1</v>
      </c>
      <c r="F55" s="52">
        <f>G55+H55</f>
        <v>174425</v>
      </c>
      <c r="G55" s="51">
        <f>G56+G58+G59+G60+G57</f>
        <v>69882.5</v>
      </c>
      <c r="H55" s="51">
        <f>H56+H58+H59+H60+H57</f>
        <v>104542.5</v>
      </c>
      <c r="I55" s="17">
        <f aca="true" t="shared" si="6" ref="I55:I64">J55+K55</f>
        <v>49361.2</v>
      </c>
      <c r="J55" s="18">
        <f>J56+J58+J59+J60</f>
        <v>0</v>
      </c>
      <c r="K55" s="18">
        <f>K56+K58+K59+K60+K57</f>
        <v>49361.2</v>
      </c>
    </row>
    <row r="56" spans="1:11" ht="54" customHeight="1">
      <c r="A56" s="76"/>
      <c r="B56" s="42" t="s">
        <v>67</v>
      </c>
      <c r="C56" s="28">
        <f t="shared" si="5"/>
        <v>65</v>
      </c>
      <c r="D56" s="25"/>
      <c r="E56" s="25">
        <v>65</v>
      </c>
      <c r="F56" s="41">
        <v>0</v>
      </c>
      <c r="G56" s="50"/>
      <c r="H56" s="50">
        <v>0</v>
      </c>
      <c r="I56" s="2">
        <f t="shared" si="6"/>
        <v>65</v>
      </c>
      <c r="J56" s="3"/>
      <c r="K56" s="3">
        <v>65</v>
      </c>
    </row>
    <row r="57" spans="1:12" ht="35.25" customHeight="1">
      <c r="A57" s="76"/>
      <c r="B57" s="40" t="s">
        <v>38</v>
      </c>
      <c r="C57" s="28">
        <f>D57+E57</f>
        <v>6041.1</v>
      </c>
      <c r="D57" s="25">
        <f>5870</f>
        <v>5870</v>
      </c>
      <c r="E57" s="25">
        <v>171.1</v>
      </c>
      <c r="F57" s="41">
        <f aca="true" t="shared" si="7" ref="F57:F64">G57+H57</f>
        <v>66592.1</v>
      </c>
      <c r="G57" s="50">
        <f>65827.1</f>
        <v>65827.1</v>
      </c>
      <c r="H57" s="50">
        <f>100+665</f>
        <v>765</v>
      </c>
      <c r="I57" s="2">
        <f>J57+K57</f>
        <v>28</v>
      </c>
      <c r="J57" s="3"/>
      <c r="K57" s="3">
        <f>L57</f>
        <v>28</v>
      </c>
      <c r="L57">
        <f>28</f>
        <v>28</v>
      </c>
    </row>
    <row r="58" spans="1:14" ht="27.75" customHeight="1" hidden="1">
      <c r="A58" s="76"/>
      <c r="B58" s="42" t="s">
        <v>31</v>
      </c>
      <c r="C58" s="28">
        <f t="shared" si="5"/>
        <v>6041.1</v>
      </c>
      <c r="D58" s="25">
        <f>5870</f>
        <v>5870</v>
      </c>
      <c r="E58" s="25">
        <v>171.1</v>
      </c>
      <c r="F58" s="41">
        <f t="shared" si="7"/>
        <v>0</v>
      </c>
      <c r="G58" s="50">
        <v>0</v>
      </c>
      <c r="H58" s="50">
        <v>0</v>
      </c>
      <c r="I58" s="2">
        <f t="shared" si="6"/>
        <v>2721</v>
      </c>
      <c r="J58" s="3"/>
      <c r="K58" s="3">
        <f>L58</f>
        <v>2721</v>
      </c>
      <c r="L58">
        <f>2590+131</f>
        <v>2721</v>
      </c>
      <c r="M58">
        <f>2721-43</f>
        <v>2678</v>
      </c>
      <c r="N58">
        <v>0</v>
      </c>
    </row>
    <row r="59" spans="1:11" ht="37.5" customHeight="1">
      <c r="A59" s="76"/>
      <c r="B59" s="40" t="s">
        <v>73</v>
      </c>
      <c r="C59" s="28">
        <f t="shared" si="5"/>
        <v>193</v>
      </c>
      <c r="D59" s="25"/>
      <c r="E59" s="25">
        <v>193</v>
      </c>
      <c r="F59" s="41">
        <f t="shared" si="7"/>
        <v>107832.9</v>
      </c>
      <c r="G59" s="50">
        <f>96+914.3+3045.1</f>
        <v>4055.3999999999996</v>
      </c>
      <c r="H59" s="50">
        <f>72915+1961+2964-1333.8-2688-6544-882.5+9.3+30.8+33027+275+4043.7</f>
        <v>103777.5</v>
      </c>
      <c r="I59" s="2">
        <f t="shared" si="6"/>
        <v>195</v>
      </c>
      <c r="J59" s="3"/>
      <c r="K59" s="3">
        <v>195</v>
      </c>
    </row>
    <row r="60" spans="1:15" ht="26.25" customHeight="1" hidden="1">
      <c r="A60" s="77"/>
      <c r="B60" s="42" t="s">
        <v>32</v>
      </c>
      <c r="C60" s="28">
        <f t="shared" si="5"/>
        <v>39154.2</v>
      </c>
      <c r="D60" s="25">
        <f>516+390.2+100</f>
        <v>1006.2</v>
      </c>
      <c r="E60" s="25">
        <v>38148</v>
      </c>
      <c r="F60" s="41">
        <f t="shared" si="7"/>
        <v>0</v>
      </c>
      <c r="G60" s="50">
        <v>0</v>
      </c>
      <c r="H60" s="50">
        <v>0</v>
      </c>
      <c r="I60" s="2">
        <f t="shared" si="6"/>
        <v>46352.2</v>
      </c>
      <c r="J60" s="3"/>
      <c r="K60" s="3">
        <f>L60</f>
        <v>46352.2</v>
      </c>
      <c r="L60">
        <f>38130+2000+4000+2200+6.2+4+7+5</f>
        <v>46352.2</v>
      </c>
      <c r="M60">
        <f>46352.2+1000+43</f>
        <v>47395.2</v>
      </c>
      <c r="N60">
        <f>60+937.5</f>
        <v>997.5</v>
      </c>
      <c r="O60">
        <f>35574+700+600+400+550+10+15604.8+2730.1</f>
        <v>56168.9</v>
      </c>
    </row>
    <row r="61" spans="1:11" ht="62.25" customHeight="1">
      <c r="A61" s="75" t="s">
        <v>22</v>
      </c>
      <c r="B61" s="35" t="s">
        <v>63</v>
      </c>
      <c r="C61" s="28" t="e">
        <f t="shared" si="5"/>
        <v>#REF!</v>
      </c>
      <c r="D61" s="25" t="e">
        <f>#REF!+D62</f>
        <v>#REF!</v>
      </c>
      <c r="E61" s="25" t="e">
        <f>#REF!+E62</f>
        <v>#REF!</v>
      </c>
      <c r="F61" s="52">
        <f t="shared" si="7"/>
        <v>225750.7</v>
      </c>
      <c r="G61" s="51">
        <f>G62</f>
        <v>128950.7</v>
      </c>
      <c r="H61" s="51">
        <f>H62+H63+H64</f>
        <v>96800</v>
      </c>
      <c r="I61" s="17" t="e">
        <f>J61+K61</f>
        <v>#REF!</v>
      </c>
      <c r="J61" s="18" t="e">
        <f>#REF!+J62</f>
        <v>#REF!</v>
      </c>
      <c r="K61" s="18" t="e">
        <f>#REF!+K62+K63+K64</f>
        <v>#REF!</v>
      </c>
    </row>
    <row r="62" spans="1:15" ht="33" customHeight="1">
      <c r="A62" s="78"/>
      <c r="B62" s="40" t="s">
        <v>38</v>
      </c>
      <c r="C62" s="28">
        <f t="shared" si="5"/>
        <v>74771.5</v>
      </c>
      <c r="D62" s="25"/>
      <c r="E62" s="25">
        <v>74771.5</v>
      </c>
      <c r="F62" s="41">
        <f t="shared" si="7"/>
        <v>225750.7</v>
      </c>
      <c r="G62" s="50">
        <f>9148.5+9148.5+110653.7</f>
        <v>128950.7</v>
      </c>
      <c r="H62" s="50">
        <f>4000+4370+5500+6000+6000+2930+65000+3000</f>
        <v>96800</v>
      </c>
      <c r="I62" s="2">
        <f t="shared" si="6"/>
        <v>178111</v>
      </c>
      <c r="J62" s="3"/>
      <c r="K62" s="3">
        <f>L62</f>
        <v>178111</v>
      </c>
      <c r="L62">
        <f>176412.1-17174.7+2170+16703.6</f>
        <v>178111</v>
      </c>
      <c r="N62">
        <v>0</v>
      </c>
      <c r="O62">
        <f>4000+38369+25556+400-712</f>
        <v>67613</v>
      </c>
    </row>
    <row r="63" spans="1:14" ht="36.75" customHeight="1" hidden="1">
      <c r="A63" s="27"/>
      <c r="B63" s="40" t="s">
        <v>36</v>
      </c>
      <c r="C63" s="28"/>
      <c r="D63" s="25"/>
      <c r="E63" s="25"/>
      <c r="F63" s="41">
        <f t="shared" si="7"/>
        <v>0</v>
      </c>
      <c r="G63" s="50"/>
      <c r="H63" s="50">
        <v>0</v>
      </c>
      <c r="I63" s="2">
        <f t="shared" si="6"/>
        <v>6900</v>
      </c>
      <c r="J63" s="3"/>
      <c r="K63" s="3">
        <f>L63</f>
        <v>6900</v>
      </c>
      <c r="L63">
        <f>4230+2670</f>
        <v>6900</v>
      </c>
      <c r="N63">
        <v>0</v>
      </c>
    </row>
    <row r="64" spans="1:14" ht="36" customHeight="1" hidden="1">
      <c r="A64" s="27"/>
      <c r="B64" s="40" t="s">
        <v>37</v>
      </c>
      <c r="C64" s="28"/>
      <c r="D64" s="25"/>
      <c r="E64" s="25"/>
      <c r="F64" s="41">
        <f t="shared" si="7"/>
        <v>0</v>
      </c>
      <c r="G64" s="50"/>
      <c r="H64" s="50">
        <v>0</v>
      </c>
      <c r="I64" s="2">
        <f t="shared" si="6"/>
        <v>2750</v>
      </c>
      <c r="J64" s="3"/>
      <c r="K64" s="3">
        <v>2750</v>
      </c>
      <c r="N64">
        <v>0</v>
      </c>
    </row>
    <row r="65" spans="1:11" ht="47.25" customHeight="1">
      <c r="A65" s="75" t="s">
        <v>23</v>
      </c>
      <c r="B65" s="35" t="s">
        <v>64</v>
      </c>
      <c r="C65" s="28">
        <f aca="true" t="shared" si="8" ref="C65:K65">C68</f>
        <v>920</v>
      </c>
      <c r="D65" s="25">
        <f t="shared" si="8"/>
        <v>0</v>
      </c>
      <c r="E65" s="25">
        <f t="shared" si="8"/>
        <v>920</v>
      </c>
      <c r="F65" s="52">
        <f>F68+F66+F67</f>
        <v>24215</v>
      </c>
      <c r="G65" s="51">
        <f>G68+G66+G67</f>
        <v>22908.5</v>
      </c>
      <c r="H65" s="51">
        <f>H68+H66+H67</f>
        <v>1306.5</v>
      </c>
      <c r="I65" s="17">
        <f t="shared" si="8"/>
        <v>1935</v>
      </c>
      <c r="J65" s="18">
        <f t="shared" si="8"/>
        <v>0</v>
      </c>
      <c r="K65" s="18">
        <f t="shared" si="8"/>
        <v>1935</v>
      </c>
    </row>
    <row r="66" spans="1:11" ht="47.25" customHeight="1">
      <c r="A66" s="76"/>
      <c r="B66" s="40" t="s">
        <v>38</v>
      </c>
      <c r="C66" s="28"/>
      <c r="D66" s="25"/>
      <c r="E66" s="25"/>
      <c r="F66" s="41">
        <f>G66+H66</f>
        <v>0</v>
      </c>
      <c r="G66" s="51"/>
      <c r="H66" s="50">
        <v>0</v>
      </c>
      <c r="I66" s="17"/>
      <c r="J66" s="18"/>
      <c r="K66" s="18"/>
    </row>
    <row r="67" spans="1:11" ht="42.75" customHeight="1">
      <c r="A67" s="76"/>
      <c r="B67" s="42" t="s">
        <v>67</v>
      </c>
      <c r="C67" s="28"/>
      <c r="D67" s="25"/>
      <c r="E67" s="25"/>
      <c r="F67" s="41">
        <f>G67+H67</f>
        <v>0</v>
      </c>
      <c r="G67" s="51"/>
      <c r="H67" s="50">
        <v>0</v>
      </c>
      <c r="I67" s="17"/>
      <c r="J67" s="18"/>
      <c r="K67" s="18"/>
    </row>
    <row r="68" spans="1:15" ht="30" customHeight="1">
      <c r="A68" s="77"/>
      <c r="B68" s="42" t="s">
        <v>26</v>
      </c>
      <c r="C68" s="28">
        <f>D68+E68</f>
        <v>920</v>
      </c>
      <c r="D68" s="25"/>
      <c r="E68" s="25">
        <v>920</v>
      </c>
      <c r="F68" s="41">
        <f>G68+H68</f>
        <v>24215</v>
      </c>
      <c r="G68" s="50">
        <f>1796.9+21111.6</f>
        <v>22908.5</v>
      </c>
      <c r="H68" s="50">
        <f>5+50+238+238+20+34+200+100+190+18.2+213.3</f>
        <v>1306.5</v>
      </c>
      <c r="I68" s="2">
        <f>J68+K68</f>
        <v>1935</v>
      </c>
      <c r="J68" s="3"/>
      <c r="K68" s="3">
        <f>L68</f>
        <v>1935</v>
      </c>
      <c r="L68">
        <f>920+65+20+430+500</f>
        <v>1935</v>
      </c>
      <c r="M68">
        <f>1935+150</f>
        <v>2085</v>
      </c>
      <c r="N68">
        <v>0</v>
      </c>
      <c r="O68">
        <f>410+3750-2500</f>
        <v>1660</v>
      </c>
    </row>
    <row r="69" spans="1:11" ht="51.75" customHeight="1">
      <c r="A69" s="75" t="s">
        <v>24</v>
      </c>
      <c r="B69" s="37" t="s">
        <v>53</v>
      </c>
      <c r="C69" s="28">
        <f>D69+E69</f>
        <v>16138.3</v>
      </c>
      <c r="D69" s="25">
        <f>D70+D71+D72+D73+D75+D74+D75+D76</f>
        <v>0</v>
      </c>
      <c r="E69" s="25">
        <f>E70+E71+E72+E73+E74+E75+E76</f>
        <v>16138.3</v>
      </c>
      <c r="F69" s="52">
        <f>G69+H69</f>
        <v>9632.8</v>
      </c>
      <c r="G69" s="51">
        <f>G70+G71+G72+G73+G75+G74+G75+G76</f>
        <v>0</v>
      </c>
      <c r="H69" s="51">
        <f>H70+H71+H72+H73+H74+H75+H76</f>
        <v>9632.8</v>
      </c>
      <c r="I69" s="17">
        <f>J69+K69</f>
        <v>15547.3</v>
      </c>
      <c r="J69" s="18">
        <f>J70+J71+J72+J73+J75+J74+J75+J76</f>
        <v>0</v>
      </c>
      <c r="K69" s="18">
        <f>K70+K71+K72+K73+K74+K75+K76</f>
        <v>15547.3</v>
      </c>
    </row>
    <row r="70" spans="1:15" ht="18" customHeight="1">
      <c r="A70" s="78"/>
      <c r="B70" s="42" t="s">
        <v>26</v>
      </c>
      <c r="C70" s="28">
        <f>D70+E70</f>
        <v>6200</v>
      </c>
      <c r="D70" s="25"/>
      <c r="E70" s="25">
        <v>6200</v>
      </c>
      <c r="F70" s="41">
        <f>G70+H70</f>
        <v>9632.8</v>
      </c>
      <c r="G70" s="50"/>
      <c r="H70" s="50">
        <f>8806.3+406.5+420</f>
        <v>9632.8</v>
      </c>
      <c r="I70" s="2">
        <f>J70+K70</f>
        <v>6200</v>
      </c>
      <c r="J70" s="3"/>
      <c r="K70" s="3">
        <f>900+700+4600</f>
        <v>6200</v>
      </c>
      <c r="N70">
        <v>0</v>
      </c>
      <c r="O70">
        <f>700+4600</f>
        <v>5300</v>
      </c>
    </row>
    <row r="71" spans="1:15" ht="50.25" customHeight="1">
      <c r="A71" s="78"/>
      <c r="B71" s="42" t="s">
        <v>67</v>
      </c>
      <c r="C71" s="28">
        <f aca="true" t="shared" si="9" ref="C71:C76">D71+E71</f>
        <v>8945</v>
      </c>
      <c r="D71" s="25"/>
      <c r="E71" s="25">
        <v>8945</v>
      </c>
      <c r="F71" s="41">
        <v>0</v>
      </c>
      <c r="G71" s="50"/>
      <c r="H71" s="50">
        <v>0</v>
      </c>
      <c r="I71" s="2">
        <f aca="true" t="shared" si="10" ref="I71:I76">J71+K71</f>
        <v>8850</v>
      </c>
      <c r="J71" s="3"/>
      <c r="K71" s="3">
        <f>100+400+2350+3000+3000</f>
        <v>8850</v>
      </c>
      <c r="O71">
        <f>2224+100+812-50</f>
        <v>3086</v>
      </c>
    </row>
    <row r="72" spans="1:11" ht="31.5" customHeight="1">
      <c r="A72" s="78"/>
      <c r="B72" s="42" t="s">
        <v>30</v>
      </c>
      <c r="C72" s="28">
        <f t="shared" si="9"/>
        <v>122</v>
      </c>
      <c r="D72" s="25"/>
      <c r="E72" s="25">
        <v>122</v>
      </c>
      <c r="F72" s="41">
        <f>G72+H72</f>
        <v>0</v>
      </c>
      <c r="G72" s="50"/>
      <c r="H72" s="50"/>
      <c r="I72" s="2">
        <f t="shared" si="10"/>
        <v>0</v>
      </c>
      <c r="J72" s="3"/>
      <c r="K72" s="3"/>
    </row>
    <row r="73" spans="1:11" ht="0.75" customHeight="1" hidden="1">
      <c r="A73" s="78"/>
      <c r="B73" s="42" t="s">
        <v>31</v>
      </c>
      <c r="C73" s="28">
        <f t="shared" si="9"/>
        <v>415</v>
      </c>
      <c r="D73" s="25"/>
      <c r="E73" s="25">
        <v>415</v>
      </c>
      <c r="F73" s="41">
        <v>0</v>
      </c>
      <c r="G73" s="50"/>
      <c r="H73" s="50">
        <v>0</v>
      </c>
      <c r="I73" s="2">
        <f t="shared" si="10"/>
        <v>400</v>
      </c>
      <c r="J73" s="3"/>
      <c r="K73" s="3">
        <v>400</v>
      </c>
    </row>
    <row r="74" spans="1:11" ht="33.75" customHeight="1">
      <c r="A74" s="78"/>
      <c r="B74" s="40" t="s">
        <v>68</v>
      </c>
      <c r="C74" s="28">
        <f t="shared" si="9"/>
        <v>210</v>
      </c>
      <c r="D74" s="25"/>
      <c r="E74" s="25">
        <v>210</v>
      </c>
      <c r="F74" s="41">
        <f>G74+H74</f>
        <v>0</v>
      </c>
      <c r="G74" s="50"/>
      <c r="H74" s="50"/>
      <c r="I74" s="2">
        <f t="shared" si="10"/>
        <v>0</v>
      </c>
      <c r="J74" s="3"/>
      <c r="K74" s="3"/>
    </row>
    <row r="75" spans="1:11" ht="36" customHeight="1" hidden="1">
      <c r="A75" s="78"/>
      <c r="B75" s="42" t="s">
        <v>32</v>
      </c>
      <c r="C75" s="28">
        <f t="shared" si="9"/>
        <v>92</v>
      </c>
      <c r="D75" s="25"/>
      <c r="E75" s="25">
        <v>92</v>
      </c>
      <c r="F75" s="41">
        <f>G75+H75</f>
        <v>0</v>
      </c>
      <c r="G75" s="50"/>
      <c r="H75" s="50"/>
      <c r="I75" s="2">
        <f t="shared" si="10"/>
        <v>0</v>
      </c>
      <c r="J75" s="3"/>
      <c r="K75" s="3"/>
    </row>
    <row r="76" spans="1:11" ht="33" customHeight="1">
      <c r="A76" s="78"/>
      <c r="B76" s="40" t="s">
        <v>38</v>
      </c>
      <c r="C76" s="28">
        <f t="shared" si="9"/>
        <v>154.3</v>
      </c>
      <c r="D76" s="25"/>
      <c r="E76" s="25">
        <v>154.3</v>
      </c>
      <c r="F76" s="41">
        <v>0</v>
      </c>
      <c r="G76" s="50"/>
      <c r="H76" s="50">
        <v>0</v>
      </c>
      <c r="I76" s="2">
        <f t="shared" si="10"/>
        <v>97.3</v>
      </c>
      <c r="J76" s="3"/>
      <c r="K76" s="3">
        <v>97.3</v>
      </c>
    </row>
    <row r="77" spans="1:11" ht="64.5" customHeight="1">
      <c r="A77" s="75" t="s">
        <v>25</v>
      </c>
      <c r="B77" s="35" t="s">
        <v>65</v>
      </c>
      <c r="C77" s="28">
        <f>D77+E77</f>
        <v>22000</v>
      </c>
      <c r="D77" s="25">
        <f>D78</f>
        <v>0</v>
      </c>
      <c r="E77" s="25">
        <f>E78</f>
        <v>22000</v>
      </c>
      <c r="F77" s="52">
        <f>G77+H77</f>
        <v>1000</v>
      </c>
      <c r="G77" s="51">
        <f>G78</f>
        <v>0</v>
      </c>
      <c r="H77" s="51">
        <f>H78</f>
        <v>1000</v>
      </c>
      <c r="I77" s="17">
        <f>J77+K77</f>
        <v>27000</v>
      </c>
      <c r="J77" s="18">
        <f>J78</f>
        <v>0</v>
      </c>
      <c r="K77" s="18">
        <f>K78</f>
        <v>27000</v>
      </c>
    </row>
    <row r="78" spans="1:14" ht="17.25" customHeight="1">
      <c r="A78" s="77"/>
      <c r="B78" s="42" t="s">
        <v>35</v>
      </c>
      <c r="C78" s="28">
        <f>D78+E78</f>
        <v>22000</v>
      </c>
      <c r="D78" s="25"/>
      <c r="E78" s="25">
        <v>22000</v>
      </c>
      <c r="F78" s="41">
        <f>H78+G78</f>
        <v>1000</v>
      </c>
      <c r="G78" s="50"/>
      <c r="H78" s="50">
        <v>1000</v>
      </c>
      <c r="I78" s="2">
        <f>J78+K78</f>
        <v>27000</v>
      </c>
      <c r="J78" s="3"/>
      <c r="K78" s="3">
        <f>25000+2000</f>
        <v>27000</v>
      </c>
      <c r="N78">
        <f>15000+50</f>
        <v>15050</v>
      </c>
    </row>
    <row r="79" spans="1:11" ht="48.75" customHeight="1">
      <c r="A79" s="70" t="s">
        <v>39</v>
      </c>
      <c r="B79" s="37" t="s">
        <v>47</v>
      </c>
      <c r="C79" s="28"/>
      <c r="D79" s="25"/>
      <c r="E79" s="25"/>
      <c r="F79" s="52">
        <f>G79+H79</f>
        <v>67609.09999999999</v>
      </c>
      <c r="G79" s="51">
        <f>G81+G80</f>
        <v>66932.9</v>
      </c>
      <c r="H79" s="51">
        <f>H81+H80</f>
        <v>676.2</v>
      </c>
      <c r="I79" s="2"/>
      <c r="J79" s="3"/>
      <c r="K79" s="3"/>
    </row>
    <row r="80" spans="1:11" ht="48.75" customHeight="1">
      <c r="A80" s="71"/>
      <c r="B80" s="42" t="s">
        <v>67</v>
      </c>
      <c r="C80" s="28"/>
      <c r="D80" s="25"/>
      <c r="E80" s="25"/>
      <c r="F80" s="41">
        <f>G80+H80</f>
        <v>66994</v>
      </c>
      <c r="G80" s="50">
        <f>47520+18804</f>
        <v>66324</v>
      </c>
      <c r="H80" s="50">
        <f>480+190</f>
        <v>670</v>
      </c>
      <c r="I80" s="2"/>
      <c r="J80" s="3"/>
      <c r="K80" s="3"/>
    </row>
    <row r="81" spans="1:11" ht="48.75" customHeight="1">
      <c r="A81" s="72"/>
      <c r="B81" s="40" t="s">
        <v>55</v>
      </c>
      <c r="C81" s="28"/>
      <c r="D81" s="25"/>
      <c r="E81" s="25"/>
      <c r="F81" s="41">
        <f>G81+H81</f>
        <v>615.1</v>
      </c>
      <c r="G81" s="50">
        <f>608.9</f>
        <v>608.9</v>
      </c>
      <c r="H81" s="50">
        <v>6.2</v>
      </c>
      <c r="I81" s="2"/>
      <c r="J81" s="3"/>
      <c r="K81" s="3"/>
    </row>
    <row r="82" spans="1:11" ht="47.25" customHeight="1">
      <c r="A82" s="70" t="s">
        <v>40</v>
      </c>
      <c r="B82" s="37" t="s">
        <v>48</v>
      </c>
      <c r="C82" s="28"/>
      <c r="D82" s="25"/>
      <c r="E82" s="25"/>
      <c r="F82" s="52">
        <f>F83+F84+F85</f>
        <v>5</v>
      </c>
      <c r="G82" s="51">
        <f>G83+G84+G85</f>
        <v>0</v>
      </c>
      <c r="H82" s="51">
        <f>H83+H84+H85</f>
        <v>5</v>
      </c>
      <c r="I82" s="2"/>
      <c r="J82" s="3"/>
      <c r="K82" s="3"/>
    </row>
    <row r="83" spans="1:20" ht="48" customHeight="1">
      <c r="A83" s="71"/>
      <c r="B83" s="42" t="s">
        <v>67</v>
      </c>
      <c r="C83" s="28"/>
      <c r="D83" s="25"/>
      <c r="E83" s="25"/>
      <c r="F83" s="41">
        <f>G83+H83</f>
        <v>0</v>
      </c>
      <c r="G83" s="50"/>
      <c r="H83" s="50">
        <v>0</v>
      </c>
      <c r="I83" s="2"/>
      <c r="J83" s="3"/>
      <c r="K83" s="3"/>
      <c r="T83" s="33">
        <f>H83+G83</f>
        <v>0</v>
      </c>
    </row>
    <row r="84" spans="1:11" ht="32.25" customHeight="1">
      <c r="A84" s="71"/>
      <c r="B84" s="42" t="s">
        <v>30</v>
      </c>
      <c r="C84" s="28"/>
      <c r="D84" s="25"/>
      <c r="E84" s="25"/>
      <c r="F84" s="41">
        <f>G84+H84</f>
        <v>5</v>
      </c>
      <c r="G84" s="50"/>
      <c r="H84" s="50">
        <v>5</v>
      </c>
      <c r="I84" s="2"/>
      <c r="J84" s="3"/>
      <c r="K84" s="3"/>
    </row>
    <row r="85" spans="1:11" ht="15" customHeight="1" hidden="1">
      <c r="A85" s="72"/>
      <c r="B85" s="37"/>
      <c r="C85" s="28"/>
      <c r="D85" s="25"/>
      <c r="E85" s="25"/>
      <c r="F85" s="41"/>
      <c r="G85" s="50"/>
      <c r="H85" s="50"/>
      <c r="I85" s="2"/>
      <c r="J85" s="3"/>
      <c r="K85" s="3"/>
    </row>
    <row r="86" spans="1:11" ht="81.75" customHeight="1">
      <c r="A86" s="70" t="s">
        <v>41</v>
      </c>
      <c r="B86" s="37" t="s">
        <v>49</v>
      </c>
      <c r="C86" s="28"/>
      <c r="D86" s="25"/>
      <c r="E86" s="25"/>
      <c r="F86" s="52">
        <f>G86+H86</f>
        <v>302.5</v>
      </c>
      <c r="G86" s="51">
        <f>G87</f>
        <v>0</v>
      </c>
      <c r="H86" s="51">
        <f>H87+H88</f>
        <v>302.5</v>
      </c>
      <c r="I86" s="2"/>
      <c r="J86" s="3"/>
      <c r="K86" s="3"/>
    </row>
    <row r="87" spans="1:11" ht="18" customHeight="1">
      <c r="A87" s="71"/>
      <c r="B87" s="40" t="s">
        <v>26</v>
      </c>
      <c r="C87" s="28"/>
      <c r="D87" s="25"/>
      <c r="E87" s="25"/>
      <c r="F87" s="59">
        <f>G87+H87</f>
        <v>302.5</v>
      </c>
      <c r="G87" s="58"/>
      <c r="H87" s="58">
        <f>12.5+27.5+262.5</f>
        <v>302.5</v>
      </c>
      <c r="I87" s="2"/>
      <c r="J87" s="3"/>
      <c r="K87" s="3"/>
    </row>
    <row r="88" spans="1:11" ht="18" customHeight="1">
      <c r="A88" s="72"/>
      <c r="B88" s="40" t="s">
        <v>55</v>
      </c>
      <c r="C88" s="28"/>
      <c r="D88" s="25"/>
      <c r="E88" s="25"/>
      <c r="F88" s="59">
        <f>G88+H88</f>
        <v>0</v>
      </c>
      <c r="G88" s="60"/>
      <c r="H88" s="60">
        <v>0</v>
      </c>
      <c r="I88" s="2"/>
      <c r="J88" s="3"/>
      <c r="K88" s="3"/>
    </row>
    <row r="89" spans="1:11" ht="32.25" customHeight="1">
      <c r="A89" s="70" t="s">
        <v>42</v>
      </c>
      <c r="B89" s="38" t="s">
        <v>50</v>
      </c>
      <c r="C89" s="28"/>
      <c r="D89" s="25"/>
      <c r="E89" s="25"/>
      <c r="F89" s="73">
        <f>G89+H89</f>
        <v>0</v>
      </c>
      <c r="G89" s="73">
        <f>G91+G92+G93</f>
        <v>0</v>
      </c>
      <c r="H89" s="73">
        <f>H91+H92+H93</f>
        <v>0</v>
      </c>
      <c r="I89" s="2"/>
      <c r="J89" s="3"/>
      <c r="K89" s="3"/>
    </row>
    <row r="90" spans="1:11" ht="25.5" customHeight="1">
      <c r="A90" s="72"/>
      <c r="B90" s="39" t="s">
        <v>51</v>
      </c>
      <c r="C90" s="28"/>
      <c r="D90" s="25"/>
      <c r="E90" s="25"/>
      <c r="F90" s="74"/>
      <c r="G90" s="74"/>
      <c r="H90" s="74"/>
      <c r="I90" s="2"/>
      <c r="J90" s="3"/>
      <c r="K90" s="3"/>
    </row>
    <row r="91" spans="1:11" ht="45.75" customHeight="1">
      <c r="A91" s="64"/>
      <c r="B91" s="40" t="s">
        <v>55</v>
      </c>
      <c r="C91" s="28"/>
      <c r="D91" s="25"/>
      <c r="E91" s="25"/>
      <c r="F91" s="63">
        <f>G91+H91</f>
        <v>0</v>
      </c>
      <c r="G91" s="62">
        <v>0</v>
      </c>
      <c r="H91" s="62">
        <v>0</v>
      </c>
      <c r="I91" s="2"/>
      <c r="J91" s="3"/>
      <c r="K91" s="3"/>
    </row>
    <row r="92" spans="1:11" ht="35.25" customHeight="1">
      <c r="A92" s="61"/>
      <c r="B92" s="40" t="s">
        <v>68</v>
      </c>
      <c r="C92" s="28"/>
      <c r="D92" s="25"/>
      <c r="E92" s="25"/>
      <c r="F92" s="63">
        <f>G92+H92</f>
        <v>0</v>
      </c>
      <c r="G92" s="62">
        <v>0</v>
      </c>
      <c r="H92" s="62">
        <v>0</v>
      </c>
      <c r="I92" s="2"/>
      <c r="J92" s="3"/>
      <c r="K92" s="3"/>
    </row>
    <row r="93" spans="1:11" ht="35.25" customHeight="1">
      <c r="A93" s="66"/>
      <c r="B93" s="42" t="s">
        <v>67</v>
      </c>
      <c r="C93" s="28"/>
      <c r="D93" s="25"/>
      <c r="E93" s="25"/>
      <c r="F93" s="63">
        <f>G93+H93</f>
        <v>0</v>
      </c>
      <c r="G93" s="62">
        <v>0</v>
      </c>
      <c r="H93" s="62">
        <v>0</v>
      </c>
      <c r="I93" s="2"/>
      <c r="J93" s="3"/>
      <c r="K93" s="3"/>
    </row>
    <row r="94" spans="1:20" ht="51" customHeight="1">
      <c r="A94" s="70" t="s">
        <v>43</v>
      </c>
      <c r="B94" s="37" t="s">
        <v>54</v>
      </c>
      <c r="C94" s="65"/>
      <c r="D94" s="30"/>
      <c r="E94" s="30"/>
      <c r="F94" s="52">
        <f>F95+F96</f>
        <v>86710.99999999999</v>
      </c>
      <c r="G94" s="51">
        <f>G95+G96</f>
        <v>0</v>
      </c>
      <c r="H94" s="51">
        <f>H95+H96</f>
        <v>86710.99999999999</v>
      </c>
      <c r="I94" s="2"/>
      <c r="J94" s="3"/>
      <c r="K94" s="3"/>
      <c r="T94" s="33">
        <f>G94+H94</f>
        <v>86710.99999999999</v>
      </c>
    </row>
    <row r="95" spans="1:11" ht="18" customHeight="1">
      <c r="A95" s="71"/>
      <c r="B95" s="40" t="s">
        <v>26</v>
      </c>
      <c r="C95" s="28"/>
      <c r="D95" s="25"/>
      <c r="E95" s="25"/>
      <c r="F95" s="41">
        <f>G95+H95</f>
        <v>78810.99999999999</v>
      </c>
      <c r="G95" s="50"/>
      <c r="H95" s="50">
        <f>42808.6+1200+12928.2+2948.2+7079.9+5500+11169.9+3180.4+2800+5112.5+115+3500+100-600-3540-1620-13871.7</f>
        <v>78810.99999999999</v>
      </c>
      <c r="I95" s="2"/>
      <c r="J95" s="3"/>
      <c r="K95" s="3"/>
    </row>
    <row r="96" spans="1:11" ht="44.25" customHeight="1">
      <c r="A96" s="72"/>
      <c r="B96" s="42" t="s">
        <v>67</v>
      </c>
      <c r="C96" s="28"/>
      <c r="D96" s="25"/>
      <c r="E96" s="25"/>
      <c r="F96" s="41">
        <f>G96+H96</f>
        <v>7900</v>
      </c>
      <c r="G96" s="50"/>
      <c r="H96" s="50">
        <f>9.1+250+290+2500+1200+15+5500+300+3000-130-290-15-1375-3354.1</f>
        <v>7900</v>
      </c>
      <c r="I96" s="2"/>
      <c r="J96" s="3"/>
      <c r="K96" s="3"/>
    </row>
    <row r="97" spans="1:19" ht="48" customHeight="1">
      <c r="A97" s="70" t="s">
        <v>44</v>
      </c>
      <c r="B97" s="37" t="s">
        <v>52</v>
      </c>
      <c r="C97" s="28"/>
      <c r="D97" s="25"/>
      <c r="E97" s="25"/>
      <c r="F97" s="52">
        <f>F98+F99+F100+F102+F101</f>
        <v>2060.4</v>
      </c>
      <c r="G97" s="51">
        <f>G98+G99+G100+G102+G101</f>
        <v>2039.5</v>
      </c>
      <c r="H97" s="51">
        <f>H98+H99+H100+H102+H101</f>
        <v>20.900000000000002</v>
      </c>
      <c r="I97" s="2"/>
      <c r="J97" s="3"/>
      <c r="K97" s="3"/>
      <c r="S97" s="33">
        <f>G97+H97</f>
        <v>2060.4</v>
      </c>
    </row>
    <row r="98" spans="1:11" ht="32.25" customHeight="1">
      <c r="A98" s="72"/>
      <c r="B98" s="40" t="s">
        <v>55</v>
      </c>
      <c r="C98" s="28"/>
      <c r="D98" s="25"/>
      <c r="E98" s="25"/>
      <c r="F98" s="41">
        <f aca="true" t="shared" si="11" ref="F98:F104">G98+H98</f>
        <v>207.1</v>
      </c>
      <c r="G98" s="50">
        <f>205</f>
        <v>205</v>
      </c>
      <c r="H98" s="50">
        <f>2.1</f>
        <v>2.1</v>
      </c>
      <c r="I98" s="2"/>
      <c r="J98" s="3"/>
      <c r="K98" s="3"/>
    </row>
    <row r="99" spans="1:11" ht="32.25" customHeight="1">
      <c r="A99" s="61"/>
      <c r="B99" s="40" t="s">
        <v>26</v>
      </c>
      <c r="C99" s="28"/>
      <c r="D99" s="25"/>
      <c r="E99" s="25"/>
      <c r="F99" s="41">
        <f t="shared" si="11"/>
        <v>304.06</v>
      </c>
      <c r="G99" s="50">
        <f>300.96</f>
        <v>300.96</v>
      </c>
      <c r="H99" s="50">
        <f>3.1</f>
        <v>3.1</v>
      </c>
      <c r="I99" s="2"/>
      <c r="J99" s="3"/>
      <c r="K99" s="3"/>
    </row>
    <row r="100" spans="1:11" ht="32.25" customHeight="1">
      <c r="A100" s="61"/>
      <c r="B100" s="40" t="s">
        <v>68</v>
      </c>
      <c r="C100" s="28"/>
      <c r="D100" s="25"/>
      <c r="E100" s="25"/>
      <c r="F100" s="41">
        <f t="shared" si="11"/>
        <v>782.9</v>
      </c>
      <c r="G100" s="50">
        <f>697+78</f>
        <v>775</v>
      </c>
      <c r="H100" s="50">
        <f>7.1+0.8</f>
        <v>7.8999999999999995</v>
      </c>
      <c r="I100" s="2"/>
      <c r="J100" s="3"/>
      <c r="K100" s="3"/>
    </row>
    <row r="101" spans="1:11" ht="32.25" customHeight="1">
      <c r="A101" s="67"/>
      <c r="B101" s="42" t="s">
        <v>67</v>
      </c>
      <c r="C101" s="28"/>
      <c r="D101" s="25"/>
      <c r="E101" s="25"/>
      <c r="F101" s="41">
        <f>G101+H101</f>
        <v>303.1</v>
      </c>
      <c r="G101" s="50">
        <v>300</v>
      </c>
      <c r="H101" s="50">
        <v>3.1</v>
      </c>
      <c r="I101" s="2"/>
      <c r="J101" s="3"/>
      <c r="K101" s="3"/>
    </row>
    <row r="102" spans="1:11" ht="32.25" customHeight="1">
      <c r="A102" s="61"/>
      <c r="B102" s="42" t="s">
        <v>30</v>
      </c>
      <c r="C102" s="28"/>
      <c r="D102" s="25"/>
      <c r="E102" s="25"/>
      <c r="F102" s="41">
        <f t="shared" si="11"/>
        <v>463.24</v>
      </c>
      <c r="G102" s="50">
        <f>458.54</f>
        <v>458.54</v>
      </c>
      <c r="H102" s="50">
        <f>4.7</f>
        <v>4.7</v>
      </c>
      <c r="I102" s="2"/>
      <c r="J102" s="3"/>
      <c r="K102" s="3"/>
    </row>
    <row r="103" spans="1:11" ht="58.5" customHeight="1">
      <c r="A103" s="70" t="s">
        <v>56</v>
      </c>
      <c r="B103" s="37" t="s">
        <v>57</v>
      </c>
      <c r="C103" s="28"/>
      <c r="D103" s="25"/>
      <c r="E103" s="25"/>
      <c r="F103" s="52">
        <f t="shared" si="11"/>
        <v>0</v>
      </c>
      <c r="G103" s="51">
        <f>G104</f>
        <v>0</v>
      </c>
      <c r="H103" s="51">
        <f>H104</f>
        <v>0</v>
      </c>
      <c r="I103" s="2"/>
      <c r="J103" s="3"/>
      <c r="K103" s="3"/>
    </row>
    <row r="104" spans="1:11" ht="40.5" customHeight="1">
      <c r="A104" s="72"/>
      <c r="B104" s="40" t="s">
        <v>55</v>
      </c>
      <c r="C104" s="28"/>
      <c r="D104" s="25"/>
      <c r="E104" s="25"/>
      <c r="F104" s="41">
        <f t="shared" si="11"/>
        <v>0</v>
      </c>
      <c r="G104" s="50">
        <v>0</v>
      </c>
      <c r="H104" s="50">
        <v>0</v>
      </c>
      <c r="I104" s="2"/>
      <c r="J104" s="3"/>
      <c r="K104" s="3"/>
    </row>
    <row r="105" spans="1:28" ht="15.75">
      <c r="A105" s="34"/>
      <c r="B105" s="57" t="s">
        <v>10</v>
      </c>
      <c r="C105" s="25" t="e">
        <f>D105+E105</f>
        <v>#REF!</v>
      </c>
      <c r="D105" s="25" t="e">
        <f>D14+D21+D30+D34+D40+D49+D55+D61+D65+D69+D77</f>
        <v>#REF!</v>
      </c>
      <c r="E105" s="25" t="e">
        <f>E14+E21+E30+E34+E40+E49+E55+E61+E65+E69+E77</f>
        <v>#REF!</v>
      </c>
      <c r="F105" s="51">
        <f>F14+F21++F30+F34+F40+F49+F55+F61+F65+F69+F77+F82+F86+F89+F94+F97+F103+F79</f>
        <v>2447604.6999999997</v>
      </c>
      <c r="G105" s="51">
        <f>G14+G21+G30+G34+G40+G49+G55+G61+G65+G69+G77+G79+G82+G86+G89+G94+G97+G103</f>
        <v>1734780.6999999997</v>
      </c>
      <c r="H105" s="51">
        <f>H14+H21++H30+H34+H40+H49+H55++H61+H65+H69+H77+H79+H82+H86+H89+H94+H97+H103</f>
        <v>712824</v>
      </c>
      <c r="I105" s="3" t="e">
        <f>J105+K105</f>
        <v>#REF!</v>
      </c>
      <c r="J105" s="3" t="e">
        <f>J14+J21+J30+J34+J40+J49+J55+J61+J65+J69+J77</f>
        <v>#REF!</v>
      </c>
      <c r="K105" s="3" t="e">
        <f>K14+K21+K30+K34+K40+K49+K55+K61+K65+K69+K77</f>
        <v>#REF!</v>
      </c>
      <c r="Q105" s="33">
        <f>G105+H105</f>
        <v>2447604.6999999997</v>
      </c>
      <c r="AB105" s="33"/>
    </row>
    <row r="106" spans="2:8" ht="15.75" hidden="1">
      <c r="B106" s="6"/>
      <c r="C106" s="6"/>
      <c r="F106" s="53"/>
      <c r="G106" s="53"/>
      <c r="H106" s="53"/>
    </row>
    <row r="107" spans="2:11" ht="15.75" hidden="1">
      <c r="B107" s="6"/>
      <c r="C107" s="6"/>
      <c r="F107" s="53"/>
      <c r="G107" s="53"/>
      <c r="H107" s="53">
        <f>G105+H105</f>
        <v>2447604.6999999997</v>
      </c>
      <c r="K107" s="7"/>
    </row>
    <row r="108" spans="6:8" ht="15.75" hidden="1">
      <c r="F108" s="53"/>
      <c r="G108" s="53"/>
      <c r="H108" s="53"/>
    </row>
    <row r="109" spans="6:20" ht="15.75" hidden="1">
      <c r="F109" s="53"/>
      <c r="G109" s="53"/>
      <c r="H109" s="53"/>
      <c r="I109" s="19"/>
      <c r="J109" s="19"/>
      <c r="K109" s="20"/>
      <c r="O109" t="s">
        <v>34</v>
      </c>
      <c r="Q109">
        <f>167838.1-50</f>
        <v>167788.1</v>
      </c>
      <c r="S109">
        <v>5719.8</v>
      </c>
      <c r="T109">
        <f>Q109+S109</f>
        <v>173507.9</v>
      </c>
    </row>
    <row r="110" spans="6:8" ht="15.75" hidden="1">
      <c r="F110" s="54"/>
      <c r="G110" s="54"/>
      <c r="H110" s="54"/>
    </row>
    <row r="111" spans="17:18" ht="12.75">
      <c r="Q111" s="31">
        <v>0</v>
      </c>
      <c r="R111" s="31">
        <v>0</v>
      </c>
    </row>
    <row r="113" ht="12.75">
      <c r="N113" s="31">
        <f>F105+T109</f>
        <v>2621112.5999999996</v>
      </c>
    </row>
  </sheetData>
  <sheetProtection/>
  <mergeCells count="34">
    <mergeCell ref="A86:A88"/>
    <mergeCell ref="A30:A33"/>
    <mergeCell ref="A77:A78"/>
    <mergeCell ref="A55:A60"/>
    <mergeCell ref="A61:A62"/>
    <mergeCell ref="A34:A38"/>
    <mergeCell ref="F10:H10"/>
    <mergeCell ref="G11:H11"/>
    <mergeCell ref="A10:A13"/>
    <mergeCell ref="C10:E10"/>
    <mergeCell ref="A49:A52"/>
    <mergeCell ref="A40:A48"/>
    <mergeCell ref="A14:A20"/>
    <mergeCell ref="A21:A29"/>
    <mergeCell ref="I10:K10"/>
    <mergeCell ref="J11:K11"/>
    <mergeCell ref="H89:H90"/>
    <mergeCell ref="A94:A96"/>
    <mergeCell ref="A82:A85"/>
    <mergeCell ref="D1:E1"/>
    <mergeCell ref="D2:E2"/>
    <mergeCell ref="D3:E3"/>
    <mergeCell ref="D6:E6"/>
    <mergeCell ref="D11:E11"/>
    <mergeCell ref="B7:H7"/>
    <mergeCell ref="A79:A81"/>
    <mergeCell ref="A103:A104"/>
    <mergeCell ref="A97:A98"/>
    <mergeCell ref="A89:A90"/>
    <mergeCell ref="F89:F90"/>
    <mergeCell ref="G89:G90"/>
    <mergeCell ref="A65:A68"/>
    <mergeCell ref="A69:A76"/>
    <mergeCell ref="B8:H8"/>
  </mergeCells>
  <printOptions/>
  <pageMargins left="0.7874015748031497" right="0.7480314960629921" top="0.984251968503937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Татьяна</cp:lastModifiedBy>
  <cp:lastPrinted>2019-11-18T03:23:51Z</cp:lastPrinted>
  <dcterms:created xsi:type="dcterms:W3CDTF">2007-11-23T11:17:43Z</dcterms:created>
  <dcterms:modified xsi:type="dcterms:W3CDTF">2019-11-18T03:24:09Z</dcterms:modified>
  <cp:category/>
  <cp:version/>
  <cp:contentType/>
  <cp:contentStatus/>
</cp:coreProperties>
</file>