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бюдж.разв." sheetId="1" r:id="rId1"/>
  </sheets>
  <definedNames>
    <definedName name="_xlnm.Print_Area" localSheetId="0">'бюдж.разв.'!$A$1:$U$126</definedName>
  </definedNames>
  <calcPr fullCalcOnLoad="1"/>
</workbook>
</file>

<file path=xl/sharedStrings.xml><?xml version="1.0" encoding="utf-8"?>
<sst xmlns="http://schemas.openxmlformats.org/spreadsheetml/2006/main" count="146" uniqueCount="72">
  <si>
    <t>Всего</t>
  </si>
  <si>
    <t>местный</t>
  </si>
  <si>
    <t>бюджет</t>
  </si>
  <si>
    <t>областной</t>
  </si>
  <si>
    <t>Невельского городского округа</t>
  </si>
  <si>
    <t>"О местном бюджете Невельского</t>
  </si>
  <si>
    <t>городского округа на 2012 год"</t>
  </si>
  <si>
    <t>Сумма, в том числе</t>
  </si>
  <si>
    <t>2015 год</t>
  </si>
  <si>
    <t>2016 год</t>
  </si>
  <si>
    <t>ИТОГО</t>
  </si>
  <si>
    <t xml:space="preserve">к Решению Собрания </t>
  </si>
  <si>
    <r>
      <t xml:space="preserve">от " " 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2014г. № </t>
    </r>
  </si>
  <si>
    <t>Наименование программы  / главные распорядители бюджетных средств</t>
  </si>
  <si>
    <t>№ п/п</t>
  </si>
  <si>
    <t>1.</t>
  </si>
  <si>
    <t>Муниципальная программа "Развитие образования в муниципальном образовании "Невельский городской округ" на 2015-2020 годы"</t>
  </si>
  <si>
    <t>2.</t>
  </si>
  <si>
    <t>3.</t>
  </si>
  <si>
    <t>4.</t>
  </si>
  <si>
    <t>5.</t>
  </si>
  <si>
    <t>6.</t>
  </si>
  <si>
    <t>7.</t>
  </si>
  <si>
    <t>Муниципальная программа "Развитие физической культуры, спорта и молодежной политики в муниципальном образовании "Невельский городской округ" на 2015-2020 годы"</t>
  </si>
  <si>
    <t>8.</t>
  </si>
  <si>
    <t>9.</t>
  </si>
  <si>
    <t>10.</t>
  </si>
  <si>
    <t>11.</t>
  </si>
  <si>
    <t>Муниципальная программа "Повышение эффективности управления муниципальными финансами в муниципальном образовании "Невельский городской округ" на 2015-2020 годы"</t>
  </si>
  <si>
    <t>Администрация Невельского городского округа</t>
  </si>
  <si>
    <t xml:space="preserve">Приложение № </t>
  </si>
  <si>
    <t xml:space="preserve">Перечень и  финансовое обеспечение муниципальных программ </t>
  </si>
  <si>
    <r>
      <t>тыс. руб</t>
    </r>
    <r>
      <rPr>
        <b/>
        <sz val="11"/>
        <rFont val="Times New Roman"/>
        <family val="1"/>
      </rPr>
      <t>.</t>
    </r>
  </si>
  <si>
    <t xml:space="preserve">Отдел образования администрации Невельского городского округа </t>
  </si>
  <si>
    <t>Отдел капитального строительства администрации Невельского городского округа</t>
  </si>
  <si>
    <t>Отдел физической культуры, спорта и молодежной политики администрации Невельского городского округа</t>
  </si>
  <si>
    <t>Отдел опеки и попечительства администрации Невельского городского округа</t>
  </si>
  <si>
    <t>Муниципальная программа "Развитие транспортной инфраструктуры и дорожного хозяйства муниципального образования "Невельский городской округ" на 2015-2020 годы"</t>
  </si>
  <si>
    <t>Муниципальная программа "Стимулирование экономической активности в муниципальном образовании "Невельский городской округ" на 2015-2020 годы"</t>
  </si>
  <si>
    <t>непрограммные</t>
  </si>
  <si>
    <t>Финансовый отдел  администрации Невельского городского округа</t>
  </si>
  <si>
    <t xml:space="preserve">Территориальный отдел по управлению селом  Горнозаводск Невельского городского округа  </t>
  </si>
  <si>
    <t xml:space="preserve">Территориальный отдел по управлению селом Шебунино Невельского городского округа </t>
  </si>
  <si>
    <t>Отдел капитального строительства и жилищно- коммунального хозяйства администрации Невельского городского округа</t>
  </si>
  <si>
    <t>12</t>
  </si>
  <si>
    <t>13</t>
  </si>
  <si>
    <t>14</t>
  </si>
  <si>
    <t>15</t>
  </si>
  <si>
    <t>16</t>
  </si>
  <si>
    <t>17</t>
  </si>
  <si>
    <t>Муниципальная программа "Социальная поддержка населения муниципального образования «Невельский городской округ» на 2018-2022годы"</t>
  </si>
  <si>
    <t>Муниципальная программа "Обеспечение населения муниципального образования «Невельский городской округ» качественным жильем на 2015-2020 годы"</t>
  </si>
  <si>
    <t>Муниципальная программа "Обеспечение населения муниципального образования «Невельский городской округ» качественными услугами жилищно-коммунального хозяйства на 2015-2020 годы"</t>
  </si>
  <si>
    <t>Муниципальная программа "Обеспечение общественного порядка , противодействие преступности и незаконному обороту наркотиков в муниципальном образовании «Невельский городской округ» на 2018-2022годы"</t>
  </si>
  <si>
    <t>Муниципальная программа "Развитие культуры в муниципальном образовании «Невельский городской округ» на 2015-2020 годы"</t>
  </si>
  <si>
    <t>Муниципальная программа "Охрана окружающей среды в муниципальном образовании «Невельский городской округ» на 2018-2022 годы"</t>
  </si>
  <si>
    <t>Мцниципальная программа "Безопасность дорожного движения в муниципальном образовании «Невельский городской округ» на 2018-2022 годы"</t>
  </si>
  <si>
    <t>Муниципальная программа "Защита населения и территории Невельского городского округа от чрезвычайных  ситуаций природного и техногенного характера, обеспечение пожарной безопасности  и безопасности людей на водных объектах на 2018-2022 годы"</t>
  </si>
  <si>
    <t xml:space="preserve">Муниципальная программа "Развитие внутреннего въездного туризма в муниципальном образовании </t>
  </si>
  <si>
    <t xml:space="preserve"> «Невельский городской округ» на 2018-2022 годы"</t>
  </si>
  <si>
    <t>Муниципальная программа "Доступная среда в муниципальном образовании «Невельский городской округ» на 2018-2022 годы"</t>
  </si>
  <si>
    <t>Муниципальная программа "Совершенствование системы муниципального управления в муниципальном образовании «Невельский городской округ» на 2018-2022 годы"</t>
  </si>
  <si>
    <t>Муниципальная программа "Совершенствование системы управления муниципальным имуществом в Невельском городском округе на 2018-2022 годы"</t>
  </si>
  <si>
    <t>18</t>
  </si>
  <si>
    <t>Муниципальная программа "Формирование современной городской среды на территории Невельского городского округа на 2018-2022 годы"</t>
  </si>
  <si>
    <t>2021 год</t>
  </si>
  <si>
    <t xml:space="preserve">от "   "     2019г. № </t>
  </si>
  <si>
    <t>Отдел  по  имуществу, землепользованию, архитектуре и градостроительству администрации Невельского городского округа</t>
  </si>
  <si>
    <t>Отдел культуры, спорта и молодежной политики администрации Невельского    городского   округа</t>
  </si>
  <si>
    <t>Приложение № 14</t>
  </si>
  <si>
    <t xml:space="preserve">Невельского городского округа на 2021 - 2022 годы </t>
  </si>
  <si>
    <t>2022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</si>
</sst>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_р_._-;\-* #,##0.000_р_._-;_-* &quot;-&quot;?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2" fontId="4" fillId="32" borderId="12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justify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/>
    </xf>
    <xf numFmtId="0" fontId="4" fillId="32" borderId="16" xfId="0" applyFont="1" applyFill="1" applyBorder="1" applyAlignment="1">
      <alignment horizontal="justify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32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4" fillId="0" borderId="0" xfId="0" applyFont="1" applyAlignment="1">
      <alignment/>
    </xf>
    <xf numFmtId="0" fontId="6" fillId="32" borderId="0" xfId="0" applyFont="1" applyFill="1" applyAlignment="1">
      <alignment/>
    </xf>
    <xf numFmtId="43" fontId="4" fillId="32" borderId="11" xfId="60" applyFont="1" applyFill="1" applyBorder="1" applyAlignment="1">
      <alignment horizontal="center" vertical="top" wrapText="1"/>
    </xf>
    <xf numFmtId="43" fontId="4" fillId="32" borderId="12" xfId="60" applyFont="1" applyFill="1" applyBorder="1" applyAlignment="1">
      <alignment horizontal="center" vertical="top" wrapText="1"/>
    </xf>
    <xf numFmtId="43" fontId="0" fillId="32" borderId="15" xfId="60" applyFont="1" applyFill="1" applyBorder="1" applyAlignment="1">
      <alignment vertical="top"/>
    </xf>
    <xf numFmtId="43" fontId="4" fillId="32" borderId="10" xfId="60" applyFont="1" applyFill="1" applyBorder="1" applyAlignment="1">
      <alignment horizontal="center" vertical="top" wrapText="1"/>
    </xf>
    <xf numFmtId="43" fontId="6" fillId="32" borderId="12" xfId="60" applyFont="1" applyFill="1" applyBorder="1" applyAlignment="1">
      <alignment horizontal="center" vertical="top" wrapText="1"/>
    </xf>
    <xf numFmtId="43" fontId="6" fillId="32" borderId="11" xfId="6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43" fontId="0" fillId="32" borderId="15" xfId="60" applyFont="1" applyFill="1" applyBorder="1" applyAlignment="1">
      <alignment vertical="top"/>
    </xf>
    <xf numFmtId="181" fontId="0" fillId="0" borderId="0" xfId="0" applyNumberFormat="1" applyAlignment="1">
      <alignment/>
    </xf>
    <xf numFmtId="49" fontId="4" fillId="32" borderId="11" xfId="60" applyNumberFormat="1" applyFont="1" applyFill="1" applyBorder="1" applyAlignment="1">
      <alignment vertical="top" wrapText="1"/>
    </xf>
    <xf numFmtId="43" fontId="10" fillId="32" borderId="11" xfId="6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80" fontId="9" fillId="32" borderId="10" xfId="60" applyNumberFormat="1" applyFont="1" applyFill="1" applyBorder="1" applyAlignment="1">
      <alignment horizontal="center" vertical="top" wrapText="1"/>
    </xf>
    <xf numFmtId="43" fontId="9" fillId="32" borderId="11" xfId="6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/>
    </xf>
    <xf numFmtId="180" fontId="10" fillId="32" borderId="12" xfId="60" applyNumberFormat="1" applyFont="1" applyFill="1" applyBorder="1" applyAlignment="1">
      <alignment horizontal="center" vertical="top" wrapText="1"/>
    </xf>
    <xf numFmtId="180" fontId="9" fillId="32" borderId="12" xfId="60" applyNumberFormat="1" applyFont="1" applyFill="1" applyBorder="1" applyAlignment="1">
      <alignment horizontal="center" vertical="top" wrapText="1"/>
    </xf>
    <xf numFmtId="180" fontId="9" fillId="32" borderId="11" xfId="60" applyNumberFormat="1" applyFont="1" applyFill="1" applyBorder="1" applyAlignment="1">
      <alignment horizontal="center" vertical="top" wrapText="1"/>
    </xf>
    <xf numFmtId="180" fontId="10" fillId="32" borderId="11" xfId="60" applyNumberFormat="1" applyFont="1" applyFill="1" applyBorder="1" applyAlignment="1">
      <alignment horizontal="center" vertical="top" wrapText="1"/>
    </xf>
    <xf numFmtId="180" fontId="10" fillId="32" borderId="10" xfId="60" applyNumberFormat="1" applyFont="1" applyFill="1" applyBorder="1" applyAlignment="1">
      <alignment horizontal="center" vertical="top" wrapText="1"/>
    </xf>
    <xf numFmtId="180" fontId="9" fillId="32" borderId="0" xfId="60" applyNumberFormat="1" applyFont="1" applyFill="1" applyAlignment="1">
      <alignment/>
    </xf>
    <xf numFmtId="0" fontId="9" fillId="32" borderId="0" xfId="0" applyFont="1" applyFill="1" applyAlignment="1">
      <alignment/>
    </xf>
    <xf numFmtId="180" fontId="9" fillId="32" borderId="12" xfId="60" applyNumberFormat="1" applyFont="1" applyFill="1" applyBorder="1" applyAlignment="1">
      <alignment horizontal="center" vertical="top" wrapText="1"/>
    </xf>
    <xf numFmtId="43" fontId="9" fillId="32" borderId="17" xfId="6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32" borderId="11" xfId="60" applyNumberFormat="1" applyFont="1" applyFill="1" applyBorder="1" applyAlignment="1">
      <alignment horizontal="right" vertical="top" wrapText="1"/>
    </xf>
    <xf numFmtId="0" fontId="3" fillId="32" borderId="0" xfId="0" applyFont="1" applyFill="1" applyAlignment="1">
      <alignment horizontal="left"/>
    </xf>
    <xf numFmtId="43" fontId="10" fillId="32" borderId="12" xfId="6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0" fontId="9" fillId="32" borderId="14" xfId="60" applyNumberFormat="1" applyFont="1" applyFill="1" applyBorder="1" applyAlignment="1">
      <alignment horizontal="center" vertical="top" wrapText="1"/>
    </xf>
    <xf numFmtId="180" fontId="9" fillId="32" borderId="12" xfId="60" applyNumberFormat="1" applyFont="1" applyFill="1" applyBorder="1" applyAlignment="1">
      <alignment horizontal="center" vertical="top" wrapText="1"/>
    </xf>
    <xf numFmtId="180" fontId="9" fillId="32" borderId="18" xfId="60" applyNumberFormat="1" applyFont="1" applyFill="1" applyBorder="1" applyAlignment="1">
      <alignment horizontal="center" vertical="top" wrapText="1"/>
    </xf>
    <xf numFmtId="180" fontId="9" fillId="32" borderId="19" xfId="6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180" fontId="10" fillId="32" borderId="14" xfId="60" applyNumberFormat="1" applyFont="1" applyFill="1" applyBorder="1" applyAlignment="1">
      <alignment horizontal="center" vertical="top" wrapText="1"/>
    </xf>
    <xf numFmtId="180" fontId="10" fillId="32" borderId="12" xfId="60" applyNumberFormat="1" applyFont="1" applyFill="1" applyBorder="1" applyAlignment="1">
      <alignment horizontal="center" vertical="top" wrapText="1"/>
    </xf>
    <xf numFmtId="49" fontId="0" fillId="32" borderId="14" xfId="60" applyNumberFormat="1" applyFont="1" applyFill="1" applyBorder="1" applyAlignment="1">
      <alignment horizontal="center" vertical="top"/>
    </xf>
    <xf numFmtId="49" fontId="0" fillId="32" borderId="15" xfId="60" applyNumberFormat="1" applyFont="1" applyFill="1" applyBorder="1" applyAlignment="1">
      <alignment horizontal="center" vertical="top"/>
    </xf>
    <xf numFmtId="49" fontId="0" fillId="32" borderId="12" xfId="60" applyNumberFormat="1" applyFont="1" applyFill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9" fillId="32" borderId="20" xfId="0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0" fontId="9" fillId="32" borderId="18" xfId="0" applyFont="1" applyFill="1" applyBorder="1" applyAlignment="1">
      <alignment/>
    </xf>
    <xf numFmtId="0" fontId="9" fillId="32" borderId="21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43" fontId="4" fillId="32" borderId="15" xfId="60" applyFont="1" applyFill="1" applyBorder="1" applyAlignment="1">
      <alignment vertical="top"/>
    </xf>
    <xf numFmtId="43" fontId="0" fillId="32" borderId="15" xfId="60" applyFont="1" applyFill="1" applyBorder="1" applyAlignment="1">
      <alignment vertical="top"/>
    </xf>
    <xf numFmtId="43" fontId="0" fillId="32" borderId="12" xfId="60" applyFont="1" applyFill="1" applyBorder="1" applyAlignment="1">
      <alignment vertical="top"/>
    </xf>
    <xf numFmtId="43" fontId="4" fillId="32" borderId="14" xfId="60" applyFont="1" applyFill="1" applyBorder="1" applyAlignment="1">
      <alignment vertical="top"/>
    </xf>
    <xf numFmtId="43" fontId="4" fillId="32" borderId="14" xfId="60" applyFont="1" applyFill="1" applyBorder="1" applyAlignment="1">
      <alignment vertical="top" wrapText="1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3"/>
  <sheetViews>
    <sheetView tabSelected="1" zoomScaleSheetLayoutView="100" zoomScalePageLayoutView="0" workbookViewId="0" topLeftCell="A94">
      <selection activeCell="X97" sqref="X97:AE131"/>
    </sheetView>
  </sheetViews>
  <sheetFormatPr defaultColWidth="9.00390625" defaultRowHeight="12.75"/>
  <cols>
    <col min="1" max="1" width="2.625" style="7" customWidth="1"/>
    <col min="2" max="2" width="63.875" style="4" customWidth="1"/>
    <col min="3" max="3" width="13.25390625" style="4" hidden="1" customWidth="1"/>
    <col min="4" max="4" width="13.375" style="4" hidden="1" customWidth="1"/>
    <col min="5" max="5" width="17.00390625" style="4" hidden="1" customWidth="1"/>
    <col min="6" max="6" width="16.125" style="4" customWidth="1"/>
    <col min="7" max="7" width="17.25390625" style="4" customWidth="1"/>
    <col min="8" max="8" width="16.25390625" style="4" customWidth="1"/>
    <col min="9" max="10" width="0" style="0" hidden="1" customWidth="1"/>
    <col min="11" max="11" width="9.625" style="0" hidden="1" customWidth="1"/>
    <col min="12" max="13" width="0" style="0" hidden="1" customWidth="1"/>
    <col min="14" max="14" width="14.625" style="0" hidden="1" customWidth="1"/>
    <col min="15" max="16" width="0" style="0" hidden="1" customWidth="1"/>
    <col min="17" max="17" width="16.625" style="0" customWidth="1"/>
    <col min="18" max="18" width="17.25390625" style="0" customWidth="1"/>
    <col min="19" max="19" width="19.875" style="0" customWidth="1"/>
    <col min="20" max="20" width="14.625" style="0" hidden="1" customWidth="1"/>
    <col min="21" max="21" width="12.875" style="0" hidden="1" customWidth="1"/>
    <col min="22" max="22" width="11.875" style="0" hidden="1" customWidth="1"/>
    <col min="23" max="23" width="12.875" style="0" hidden="1" customWidth="1"/>
    <col min="24" max="30" width="9.125" style="0" customWidth="1"/>
    <col min="31" max="31" width="15.125" style="0" customWidth="1"/>
    <col min="32" max="32" width="9.125" style="0" customWidth="1"/>
    <col min="34" max="36" width="9.125" style="0" customWidth="1"/>
    <col min="42" max="42" width="15.375" style="0" customWidth="1"/>
    <col min="43" max="43" width="16.00390625" style="0" customWidth="1"/>
    <col min="44" max="44" width="12.375" style="0" customWidth="1"/>
  </cols>
  <sheetData>
    <row r="1" spans="4:8" ht="15">
      <c r="D1" s="74" t="s">
        <v>30</v>
      </c>
      <c r="E1" s="74"/>
      <c r="G1" s="59" t="s">
        <v>69</v>
      </c>
      <c r="H1" s="23"/>
    </row>
    <row r="2" spans="4:8" ht="15">
      <c r="D2" s="74" t="s">
        <v>11</v>
      </c>
      <c r="E2" s="74"/>
      <c r="G2" s="22" t="s">
        <v>11</v>
      </c>
      <c r="H2" s="23"/>
    </row>
    <row r="3" spans="4:8" ht="15">
      <c r="D3" s="74" t="s">
        <v>4</v>
      </c>
      <c r="E3" s="74"/>
      <c r="G3" s="22" t="s">
        <v>4</v>
      </c>
      <c r="H3" s="23"/>
    </row>
    <row r="4" spans="4:8" ht="15" customHeight="1" hidden="1">
      <c r="D4" s="22" t="s">
        <v>5</v>
      </c>
      <c r="E4" s="22"/>
      <c r="G4" s="22" t="s">
        <v>5</v>
      </c>
      <c r="H4" s="23"/>
    </row>
    <row r="5" spans="4:8" ht="15" customHeight="1" hidden="1">
      <c r="D5" s="22" t="s">
        <v>6</v>
      </c>
      <c r="E5" s="22"/>
      <c r="G5" s="22" t="s">
        <v>6</v>
      </c>
      <c r="H5" s="23"/>
    </row>
    <row r="6" spans="4:8" ht="15">
      <c r="D6" s="74" t="s">
        <v>12</v>
      </c>
      <c r="E6" s="74"/>
      <c r="G6" s="22" t="s">
        <v>66</v>
      </c>
      <c r="H6" s="23"/>
    </row>
    <row r="7" spans="2:8" ht="14.25">
      <c r="B7" s="85" t="s">
        <v>31</v>
      </c>
      <c r="C7" s="85"/>
      <c r="D7" s="85"/>
      <c r="E7" s="85"/>
      <c r="F7" s="86"/>
      <c r="G7" s="86"/>
      <c r="H7" s="86"/>
    </row>
    <row r="8" spans="2:8" ht="14.25">
      <c r="B8" s="85" t="s">
        <v>70</v>
      </c>
      <c r="C8" s="85"/>
      <c r="D8" s="85"/>
      <c r="E8" s="85"/>
      <c r="F8" s="86"/>
      <c r="G8" s="86"/>
      <c r="H8" s="86"/>
    </row>
    <row r="9" spans="2:8" ht="9.75" customHeight="1">
      <c r="B9" s="24"/>
      <c r="C9" s="24"/>
      <c r="D9" s="24"/>
      <c r="E9" s="24" t="s">
        <v>32</v>
      </c>
      <c r="F9" s="24"/>
      <c r="G9" s="24"/>
      <c r="H9" s="24"/>
    </row>
    <row r="10" spans="1:19" ht="15.75">
      <c r="A10" s="92" t="s">
        <v>14</v>
      </c>
      <c r="B10" s="8"/>
      <c r="C10" s="82" t="s">
        <v>8</v>
      </c>
      <c r="D10" s="83"/>
      <c r="E10" s="84"/>
      <c r="F10" s="75" t="s">
        <v>65</v>
      </c>
      <c r="G10" s="76"/>
      <c r="H10" s="77"/>
      <c r="I10" s="82" t="s">
        <v>9</v>
      </c>
      <c r="J10" s="83"/>
      <c r="K10" s="84"/>
      <c r="L10" s="61"/>
      <c r="M10" s="61"/>
      <c r="N10" s="61"/>
      <c r="O10" s="61"/>
      <c r="P10" s="61"/>
      <c r="Q10" s="75" t="s">
        <v>71</v>
      </c>
      <c r="R10" s="76"/>
      <c r="S10" s="77"/>
    </row>
    <row r="11" spans="1:19" ht="15.75">
      <c r="A11" s="93"/>
      <c r="B11" s="9"/>
      <c r="C11" s="10"/>
      <c r="D11" s="80" t="s">
        <v>7</v>
      </c>
      <c r="E11" s="81"/>
      <c r="F11" s="43"/>
      <c r="G11" s="78" t="s">
        <v>7</v>
      </c>
      <c r="H11" s="79"/>
      <c r="I11" s="10"/>
      <c r="J11" s="80" t="s">
        <v>7</v>
      </c>
      <c r="K11" s="81"/>
      <c r="L11" s="62"/>
      <c r="M11" s="62"/>
      <c r="N11" s="62"/>
      <c r="O11" s="62"/>
      <c r="P11" s="62"/>
      <c r="Q11" s="43"/>
      <c r="R11" s="78" t="s">
        <v>7</v>
      </c>
      <c r="S11" s="79"/>
    </row>
    <row r="12" spans="1:19" ht="15.75">
      <c r="A12" s="93"/>
      <c r="B12" s="11" t="s">
        <v>13</v>
      </c>
      <c r="C12" s="12" t="s">
        <v>0</v>
      </c>
      <c r="D12" s="13" t="s">
        <v>3</v>
      </c>
      <c r="E12" s="13" t="s">
        <v>1</v>
      </c>
      <c r="F12" s="44" t="s">
        <v>0</v>
      </c>
      <c r="G12" s="45" t="s">
        <v>3</v>
      </c>
      <c r="H12" s="45" t="s">
        <v>1</v>
      </c>
      <c r="I12" s="12" t="s">
        <v>0</v>
      </c>
      <c r="J12" s="13" t="s">
        <v>3</v>
      </c>
      <c r="K12" s="13" t="s">
        <v>1</v>
      </c>
      <c r="L12" s="62"/>
      <c r="M12" s="62"/>
      <c r="N12" s="62"/>
      <c r="O12" s="62"/>
      <c r="P12" s="62"/>
      <c r="Q12" s="44" t="s">
        <v>0</v>
      </c>
      <c r="R12" s="45" t="s">
        <v>3</v>
      </c>
      <c r="S12" s="45" t="s">
        <v>1</v>
      </c>
    </row>
    <row r="13" spans="1:19" ht="15.75">
      <c r="A13" s="94"/>
      <c r="B13" s="14"/>
      <c r="C13" s="15"/>
      <c r="D13" s="16" t="s">
        <v>2</v>
      </c>
      <c r="E13" s="16" t="s">
        <v>2</v>
      </c>
      <c r="F13" s="46"/>
      <c r="G13" s="47" t="s">
        <v>2</v>
      </c>
      <c r="H13" s="47" t="s">
        <v>2</v>
      </c>
      <c r="I13" s="15"/>
      <c r="J13" s="16" t="s">
        <v>2</v>
      </c>
      <c r="K13" s="16" t="s">
        <v>2</v>
      </c>
      <c r="L13" s="63"/>
      <c r="M13" s="63"/>
      <c r="N13" s="63"/>
      <c r="O13" s="63"/>
      <c r="P13" s="63"/>
      <c r="Q13" s="46"/>
      <c r="R13" s="47" t="s">
        <v>2</v>
      </c>
      <c r="S13" s="47" t="s">
        <v>2</v>
      </c>
    </row>
    <row r="14" spans="1:19" ht="47.25">
      <c r="A14" s="87" t="s">
        <v>15</v>
      </c>
      <c r="B14" s="60" t="s">
        <v>16</v>
      </c>
      <c r="C14" s="29" t="e">
        <f aca="true" t="shared" si="0" ref="C14:C39">D14+E14</f>
        <v>#REF!</v>
      </c>
      <c r="D14" s="29" t="e">
        <f>D15+D16+#REF!+D19</f>
        <v>#REF!</v>
      </c>
      <c r="E14" s="29" t="e">
        <f>E15+E16+#REF!+E19</f>
        <v>#REF!</v>
      </c>
      <c r="F14" s="48">
        <f>G14+H14</f>
        <v>733216.2000000001</v>
      </c>
      <c r="G14" s="48">
        <f>G15+G16+G19+G17+G18</f>
        <v>576236.0000000001</v>
      </c>
      <c r="H14" s="48">
        <f>H15+H16+H19+H17+H18</f>
        <v>156980.19999999998</v>
      </c>
      <c r="I14" s="5" t="e">
        <f aca="true" t="shared" si="1" ref="I14:I48">J14+K14</f>
        <v>#REF!</v>
      </c>
      <c r="J14" s="5" t="e">
        <f>J15+J16+#REF!+J19</f>
        <v>#REF!</v>
      </c>
      <c r="K14" s="5" t="e">
        <f>K15+K16+#REF!+K19</f>
        <v>#REF!</v>
      </c>
      <c r="Q14" s="48">
        <f aca="true" t="shared" si="2" ref="Q14:Q23">R14+S14</f>
        <v>710784.2000000001</v>
      </c>
      <c r="R14" s="48">
        <f>R15+R16+R19+R17+R18</f>
        <v>585344.8</v>
      </c>
      <c r="S14" s="48">
        <f>S15+S16+S19+S17+S18</f>
        <v>125439.4</v>
      </c>
    </row>
    <row r="15" spans="1:19" s="1" customFormat="1" ht="42.75" customHeight="1">
      <c r="A15" s="88"/>
      <c r="B15" s="42" t="s">
        <v>33</v>
      </c>
      <c r="C15" s="26">
        <f t="shared" si="0"/>
        <v>498221.6</v>
      </c>
      <c r="D15" s="26">
        <f>303+25.3+176.8+144.3+577.3+5396.1+150572.5+5622.3+85.9+6077.7+177.2+165585.3+10294.9+4665.3+2850+50625+1332.9+4814.8+380+680+100+5202+5450+581.2</f>
        <v>421719.8</v>
      </c>
      <c r="E15" s="26">
        <v>76501.8</v>
      </c>
      <c r="F15" s="49">
        <f>G15+H15</f>
        <v>708989.1000000001</v>
      </c>
      <c r="G15" s="49">
        <f>11550+174.53+523.67+107+178+70+315.6+194.4+1014.9+18665.2+213067.2+4780.4+276074+9148.6+642+690+150+143+500+400+1254+1852.8+10085.4+600</f>
        <v>552180.7000000001</v>
      </c>
      <c r="H15" s="49">
        <f>103364.3+50573.4+27499.6+39725.2+5750.5+2025.1+131.3+4561.9-36178-17757-9625-2013-11899-1976-29-709-46-1597+2000+2000+1000+6.1</f>
        <v>156808.4</v>
      </c>
      <c r="I15" s="5">
        <f t="shared" si="1"/>
        <v>91867</v>
      </c>
      <c r="J15" s="5"/>
      <c r="K15" s="5">
        <f>L15</f>
        <v>91867</v>
      </c>
      <c r="L15" s="1">
        <f>79732.3+1700+2434.7+8000</f>
        <v>91867</v>
      </c>
      <c r="M15" s="21">
        <f>91867+3300+2500+70+62</f>
        <v>97799</v>
      </c>
      <c r="N15" s="1">
        <f>350+153450.3+480+183244.6+130+100+698.1+458.1+17769+7390.7+353.1+540</f>
        <v>364963.89999999997</v>
      </c>
      <c r="O15" s="1">
        <f>20000+9706+320+10000+55+4855.8+16000+945+80+5220</f>
        <v>67181.8</v>
      </c>
      <c r="Q15" s="55">
        <f>R15+S15</f>
        <v>694274.3</v>
      </c>
      <c r="R15" s="55">
        <f>11550+174.53+523.67+110+187.1+72+315.6+194.4+1014.9+18665.2+226883.3+5160.7+277407.8+9115+665.4+690+150+143+500+400+1474+4220.9+8739+600</f>
        <v>568956.5</v>
      </c>
      <c r="S15" s="55">
        <f>107292.1+52495.2+28665+41231.7+5970+2102+136.4+4735.3-53646-26248-14333-2985-17645-2930-42-1051-68-2368+2000+1000+1000+6.1</f>
        <v>125317.79999999999</v>
      </c>
    </row>
    <row r="16" spans="1:19" ht="42" customHeight="1" hidden="1">
      <c r="A16" s="88"/>
      <c r="B16" s="56" t="s">
        <v>34</v>
      </c>
      <c r="C16" s="26">
        <f t="shared" si="0"/>
        <v>181000</v>
      </c>
      <c r="D16" s="26">
        <v>180000</v>
      </c>
      <c r="E16" s="26">
        <v>1000</v>
      </c>
      <c r="F16" s="49">
        <f>G16+H16</f>
        <v>0</v>
      </c>
      <c r="G16" s="49">
        <v>0</v>
      </c>
      <c r="H16" s="49">
        <v>0</v>
      </c>
      <c r="I16" s="5">
        <f t="shared" si="1"/>
        <v>1000</v>
      </c>
      <c r="J16" s="5"/>
      <c r="K16" s="5">
        <f>500+500</f>
        <v>1000</v>
      </c>
      <c r="N16">
        <v>0</v>
      </c>
      <c r="Q16" s="55">
        <f t="shared" si="2"/>
        <v>0</v>
      </c>
      <c r="R16" s="55">
        <v>0</v>
      </c>
      <c r="S16" s="55">
        <v>0</v>
      </c>
    </row>
    <row r="17" spans="1:19" ht="39" customHeight="1">
      <c r="A17" s="88"/>
      <c r="B17" s="57" t="s">
        <v>43</v>
      </c>
      <c r="C17" s="26"/>
      <c r="D17" s="26"/>
      <c r="E17" s="26"/>
      <c r="F17" s="49">
        <f aca="true" t="shared" si="3" ref="F17:F23">G17+H17</f>
        <v>17138.8</v>
      </c>
      <c r="G17" s="49">
        <f>1097+3870+12000</f>
        <v>16967</v>
      </c>
      <c r="H17" s="49">
        <f>11.1+39.1+121.6</f>
        <v>171.8</v>
      </c>
      <c r="I17" s="5"/>
      <c r="J17" s="5"/>
      <c r="K17" s="5"/>
      <c r="Q17" s="55">
        <f>R17+S17</f>
        <v>12121.6</v>
      </c>
      <c r="R17" s="55">
        <f>12000</f>
        <v>12000</v>
      </c>
      <c r="S17" s="55">
        <f>121.6</f>
        <v>121.6</v>
      </c>
    </row>
    <row r="18" spans="1:19" ht="36" customHeight="1">
      <c r="A18" s="88"/>
      <c r="B18" s="40" t="s">
        <v>68</v>
      </c>
      <c r="C18" s="26"/>
      <c r="D18" s="26"/>
      <c r="E18" s="26"/>
      <c r="F18" s="49">
        <f>G18+H18</f>
        <v>338.3</v>
      </c>
      <c r="G18" s="49">
        <f>338.3</f>
        <v>338.3</v>
      </c>
      <c r="H18" s="49">
        <v>0</v>
      </c>
      <c r="I18" s="5"/>
      <c r="J18" s="5"/>
      <c r="K18" s="5"/>
      <c r="Q18" s="55">
        <f t="shared" si="2"/>
        <v>338.3</v>
      </c>
      <c r="R18" s="55">
        <f>338.3</f>
        <v>338.3</v>
      </c>
      <c r="S18" s="55"/>
    </row>
    <row r="19" spans="1:19" ht="46.5" customHeight="1">
      <c r="A19" s="89"/>
      <c r="B19" s="42" t="s">
        <v>67</v>
      </c>
      <c r="C19" s="26">
        <f t="shared" si="0"/>
        <v>32293.1</v>
      </c>
      <c r="D19" s="26">
        <f>4680+925.6+24287+1200+1190</f>
        <v>32282.6</v>
      </c>
      <c r="E19" s="26">
        <v>10.5</v>
      </c>
      <c r="F19" s="49">
        <f t="shared" si="3"/>
        <v>6750</v>
      </c>
      <c r="G19" s="49">
        <v>6750</v>
      </c>
      <c r="H19" s="49">
        <v>0</v>
      </c>
      <c r="I19" s="5">
        <f t="shared" si="1"/>
        <v>11.2</v>
      </c>
      <c r="J19" s="5"/>
      <c r="K19" s="5">
        <f>11.2</f>
        <v>11.2</v>
      </c>
      <c r="Q19" s="55">
        <f>R19+S19</f>
        <v>4050</v>
      </c>
      <c r="R19" s="55">
        <v>4050</v>
      </c>
      <c r="S19" s="55">
        <v>0</v>
      </c>
    </row>
    <row r="20" spans="1:19" ht="58.5" customHeight="1">
      <c r="A20" s="90" t="s">
        <v>17</v>
      </c>
      <c r="B20" s="36" t="s">
        <v>50</v>
      </c>
      <c r="C20" s="30">
        <f t="shared" si="0"/>
        <v>1680</v>
      </c>
      <c r="D20" s="29">
        <f>D28</f>
        <v>0</v>
      </c>
      <c r="E20" s="29">
        <f>E28</f>
        <v>1680</v>
      </c>
      <c r="F20" s="48">
        <f t="shared" si="3"/>
        <v>7516.599999999999</v>
      </c>
      <c r="G20" s="48">
        <f>G22+G28+G21+G25+G23+G26</f>
        <v>5559.599999999999</v>
      </c>
      <c r="H20" s="48">
        <f>H22+H28+H21+H24+H25+H26+H27+H23</f>
        <v>1957</v>
      </c>
      <c r="I20" s="5">
        <f>I22+I28+I21+I25</f>
        <v>2149.5</v>
      </c>
      <c r="J20" s="5">
        <f>J22+J28+J21</f>
        <v>0</v>
      </c>
      <c r="K20" s="5">
        <f>K22+K28+K21+K24+K25</f>
        <v>2173.5</v>
      </c>
      <c r="Q20" s="48">
        <f t="shared" si="2"/>
        <v>7073.599999999999</v>
      </c>
      <c r="R20" s="48">
        <f>R22+R28+R21+R25+R23+R26</f>
        <v>5559.599999999999</v>
      </c>
      <c r="S20" s="48">
        <f>S22+S28+S21+S24+S25+S26+S27+S23</f>
        <v>1514</v>
      </c>
    </row>
    <row r="21" spans="1:19" ht="41.25" customHeight="1">
      <c r="A21" s="87"/>
      <c r="B21" s="40" t="s">
        <v>43</v>
      </c>
      <c r="C21" s="25"/>
      <c r="D21" s="26"/>
      <c r="E21" s="26"/>
      <c r="F21" s="50">
        <f t="shared" si="3"/>
        <v>0</v>
      </c>
      <c r="G21" s="49">
        <v>0</v>
      </c>
      <c r="H21" s="49">
        <v>0</v>
      </c>
      <c r="I21" s="3">
        <f>J21+K21</f>
        <v>16</v>
      </c>
      <c r="J21" s="5">
        <v>0</v>
      </c>
      <c r="K21" s="5">
        <v>16</v>
      </c>
      <c r="Q21" s="50">
        <f t="shared" si="2"/>
        <v>0</v>
      </c>
      <c r="R21" s="55">
        <v>0</v>
      </c>
      <c r="S21" s="55">
        <v>0</v>
      </c>
    </row>
    <row r="22" spans="1:19" ht="34.5" customHeight="1">
      <c r="A22" s="87"/>
      <c r="B22" s="42" t="s">
        <v>33</v>
      </c>
      <c r="C22" s="25"/>
      <c r="D22" s="26"/>
      <c r="E22" s="26"/>
      <c r="F22" s="50">
        <f t="shared" si="3"/>
        <v>5220.599999999999</v>
      </c>
      <c r="G22" s="49">
        <f>4849.9+370.7</f>
        <v>5220.599999999999</v>
      </c>
      <c r="H22" s="49">
        <v>0</v>
      </c>
      <c r="I22" s="3">
        <f>J22+K22</f>
        <v>96.5</v>
      </c>
      <c r="J22" s="5">
        <v>0</v>
      </c>
      <c r="K22" s="5">
        <f>54.5+42</f>
        <v>96.5</v>
      </c>
      <c r="N22">
        <f>5180.6+136.4</f>
        <v>5317</v>
      </c>
      <c r="O22">
        <f>50+42</f>
        <v>92</v>
      </c>
      <c r="Q22" s="50">
        <v>0</v>
      </c>
      <c r="R22" s="55">
        <f>4849.9+370.7</f>
        <v>5220.599999999999</v>
      </c>
      <c r="S22" s="55">
        <v>0</v>
      </c>
    </row>
    <row r="23" spans="1:19" ht="39.75" customHeight="1" hidden="1">
      <c r="A23" s="87"/>
      <c r="B23" s="42" t="s">
        <v>35</v>
      </c>
      <c r="C23" s="25"/>
      <c r="D23" s="26"/>
      <c r="E23" s="26"/>
      <c r="F23" s="50">
        <f t="shared" si="3"/>
        <v>0</v>
      </c>
      <c r="G23" s="49">
        <v>0</v>
      </c>
      <c r="H23" s="49">
        <v>0</v>
      </c>
      <c r="I23" s="3"/>
      <c r="J23" s="5"/>
      <c r="K23" s="5"/>
      <c r="Q23" s="50">
        <f t="shared" si="2"/>
        <v>0</v>
      </c>
      <c r="R23" s="55">
        <v>0</v>
      </c>
      <c r="S23" s="55">
        <v>0</v>
      </c>
    </row>
    <row r="24" spans="1:19" ht="21.75" customHeight="1">
      <c r="A24" s="87"/>
      <c r="B24" s="42" t="s">
        <v>29</v>
      </c>
      <c r="C24" s="25"/>
      <c r="D24" s="26"/>
      <c r="E24" s="26"/>
      <c r="F24" s="50">
        <f>H24</f>
        <v>1606</v>
      </c>
      <c r="G24" s="49"/>
      <c r="H24" s="49">
        <f>779+637+180+95+780-273-223-63-33-273</f>
        <v>1606</v>
      </c>
      <c r="I24" s="3">
        <f>J24+K24</f>
        <v>24</v>
      </c>
      <c r="J24" s="5">
        <v>0</v>
      </c>
      <c r="K24" s="5">
        <v>24</v>
      </c>
      <c r="Q24" s="50">
        <v>0</v>
      </c>
      <c r="R24" s="55"/>
      <c r="S24" s="55">
        <f>779+637+180+95+780-390-319-90-48-390</f>
        <v>1234</v>
      </c>
    </row>
    <row r="25" spans="1:19" ht="34.5" customHeight="1">
      <c r="A25" s="87"/>
      <c r="B25" s="40" t="s">
        <v>68</v>
      </c>
      <c r="C25" s="25"/>
      <c r="D25" s="26"/>
      <c r="E25" s="26"/>
      <c r="F25" s="50">
        <f>G25+H25</f>
        <v>690</v>
      </c>
      <c r="G25" s="49">
        <f>339</f>
        <v>339</v>
      </c>
      <c r="H25" s="49">
        <f>378+162-189</f>
        <v>351</v>
      </c>
      <c r="I25" s="3">
        <f>J25+K25</f>
        <v>357</v>
      </c>
      <c r="J25" s="5">
        <v>0</v>
      </c>
      <c r="K25" s="5">
        <v>357</v>
      </c>
      <c r="N25">
        <v>0</v>
      </c>
      <c r="Q25" s="50">
        <v>0</v>
      </c>
      <c r="R25" s="55">
        <v>339</v>
      </c>
      <c r="S25" s="55">
        <f>393+168-281</f>
        <v>280</v>
      </c>
    </row>
    <row r="26" spans="1:19" ht="47.25" customHeight="1">
      <c r="A26" s="87"/>
      <c r="B26" s="42" t="s">
        <v>67</v>
      </c>
      <c r="C26" s="25"/>
      <c r="D26" s="26"/>
      <c r="E26" s="26"/>
      <c r="F26" s="50">
        <f>G26+H26</f>
        <v>0</v>
      </c>
      <c r="G26" s="49">
        <v>0</v>
      </c>
      <c r="H26" s="49"/>
      <c r="I26" s="3"/>
      <c r="J26" s="5"/>
      <c r="K26" s="5"/>
      <c r="Q26" s="50">
        <f>R26+S26</f>
        <v>0</v>
      </c>
      <c r="R26" s="55">
        <v>0</v>
      </c>
      <c r="S26" s="55"/>
    </row>
    <row r="27" spans="1:19" ht="34.5" customHeight="1" hidden="1">
      <c r="A27" s="87"/>
      <c r="B27" s="42" t="s">
        <v>34</v>
      </c>
      <c r="C27" s="25"/>
      <c r="D27" s="26"/>
      <c r="E27" s="26"/>
      <c r="F27" s="50">
        <v>0</v>
      </c>
      <c r="G27" s="49"/>
      <c r="H27" s="49">
        <v>0</v>
      </c>
      <c r="I27" s="3"/>
      <c r="J27" s="5"/>
      <c r="K27" s="5"/>
      <c r="Q27" s="50">
        <v>0</v>
      </c>
      <c r="R27" s="55"/>
      <c r="S27" s="55">
        <v>0</v>
      </c>
    </row>
    <row r="28" spans="1:19" ht="30.75" customHeight="1" hidden="1">
      <c r="A28" s="88"/>
      <c r="B28" s="42" t="s">
        <v>36</v>
      </c>
      <c r="C28" s="25">
        <f t="shared" si="0"/>
        <v>1680</v>
      </c>
      <c r="D28" s="26">
        <v>0</v>
      </c>
      <c r="E28" s="26">
        <v>1680</v>
      </c>
      <c r="F28" s="50">
        <f>H28</f>
        <v>0</v>
      </c>
      <c r="G28" s="49">
        <v>0</v>
      </c>
      <c r="H28" s="49">
        <v>0</v>
      </c>
      <c r="I28" s="3">
        <f t="shared" si="1"/>
        <v>1680</v>
      </c>
      <c r="J28" s="5">
        <v>0</v>
      </c>
      <c r="K28" s="5">
        <v>1680</v>
      </c>
      <c r="Q28" s="50">
        <f>S28</f>
        <v>0</v>
      </c>
      <c r="R28" s="55">
        <v>0</v>
      </c>
      <c r="S28" s="55">
        <v>0</v>
      </c>
    </row>
    <row r="29" spans="1:19" ht="47.25">
      <c r="A29" s="90" t="s">
        <v>18</v>
      </c>
      <c r="B29" s="36" t="s">
        <v>51</v>
      </c>
      <c r="C29" s="26">
        <f t="shared" si="0"/>
        <v>323323.39999999997</v>
      </c>
      <c r="D29" s="26">
        <f>D30+D31+D32</f>
        <v>316715.8</v>
      </c>
      <c r="E29" s="26">
        <f>E30+E31+E32</f>
        <v>6607.6</v>
      </c>
      <c r="F29" s="48">
        <f aca="true" t="shared" si="4" ref="F29:F35">G29+H29</f>
        <v>33052.9</v>
      </c>
      <c r="G29" s="48">
        <f>G30+G31+G32</f>
        <v>32722.1</v>
      </c>
      <c r="H29" s="48">
        <f>H30+H31+H32</f>
        <v>330.79999999999995</v>
      </c>
      <c r="I29" s="5">
        <f t="shared" si="1"/>
        <v>2608</v>
      </c>
      <c r="J29" s="5">
        <f>J30+J31+J32</f>
        <v>0</v>
      </c>
      <c r="K29" s="5">
        <f>K30+K31+K32</f>
        <v>2608</v>
      </c>
      <c r="Q29" s="48">
        <f aca="true" t="shared" si="5" ref="Q29:Q35">R29+S29</f>
        <v>57203.99999999999</v>
      </c>
      <c r="R29" s="48">
        <f>R30+R31+R32</f>
        <v>56631.799999999996</v>
      </c>
      <c r="S29" s="48">
        <f>S30+S31+S32</f>
        <v>572.2</v>
      </c>
    </row>
    <row r="30" spans="1:19" ht="52.5" customHeight="1">
      <c r="A30" s="88"/>
      <c r="B30" s="42" t="s">
        <v>67</v>
      </c>
      <c r="C30" s="26">
        <f t="shared" si="0"/>
        <v>2150</v>
      </c>
      <c r="D30" s="26">
        <v>0</v>
      </c>
      <c r="E30" s="26">
        <v>2150</v>
      </c>
      <c r="F30" s="49">
        <f t="shared" si="4"/>
        <v>9039</v>
      </c>
      <c r="G30" s="49">
        <f>4631.5+4317</f>
        <v>8948.5</v>
      </c>
      <c r="H30" s="49">
        <f>46.8+43.7</f>
        <v>90.5</v>
      </c>
      <c r="I30" s="5">
        <f t="shared" si="1"/>
        <v>2608</v>
      </c>
      <c r="J30" s="5"/>
      <c r="K30" s="5">
        <f>L30</f>
        <v>2608</v>
      </c>
      <c r="L30">
        <f>2150+458</f>
        <v>2608</v>
      </c>
      <c r="N30">
        <v>0</v>
      </c>
      <c r="Q30" s="55">
        <f t="shared" si="5"/>
        <v>8609.800000000001</v>
      </c>
      <c r="R30" s="55">
        <f>3468.6+5055</f>
        <v>8523.6</v>
      </c>
      <c r="S30" s="55">
        <f>35.1+51.1</f>
        <v>86.2</v>
      </c>
    </row>
    <row r="31" spans="1:19" ht="40.5" customHeight="1">
      <c r="A31" s="88"/>
      <c r="B31" s="68" t="s">
        <v>43</v>
      </c>
      <c r="C31" s="26">
        <f t="shared" si="0"/>
        <v>314837.6</v>
      </c>
      <c r="D31" s="26">
        <f>1000+127587.2+136876.6+35932.7+9319.3</f>
        <v>310715.8</v>
      </c>
      <c r="E31" s="26">
        <v>4121.8</v>
      </c>
      <c r="F31" s="41">
        <f>G31+H31</f>
        <v>24013.899999999998</v>
      </c>
      <c r="G31" s="65">
        <f>693+22029.1+1051.5</f>
        <v>23773.6</v>
      </c>
      <c r="H31" s="65">
        <f>7+222.6+10.7</f>
        <v>240.29999999999998</v>
      </c>
      <c r="I31" s="2">
        <f>J31+K31</f>
        <v>0</v>
      </c>
      <c r="J31" s="5"/>
      <c r="K31" s="5"/>
      <c r="Q31" s="41">
        <f>R31+S31</f>
        <v>48594.2</v>
      </c>
      <c r="R31" s="65">
        <f>693+46421+994.2</f>
        <v>48108.2</v>
      </c>
      <c r="S31" s="65">
        <f>7+468.9+10.1</f>
        <v>486</v>
      </c>
    </row>
    <row r="32" spans="1:19" ht="39" customHeight="1" hidden="1">
      <c r="A32" s="89"/>
      <c r="B32" s="57" t="s">
        <v>43</v>
      </c>
      <c r="C32" s="26">
        <f t="shared" si="0"/>
        <v>6335.8</v>
      </c>
      <c r="D32" s="26">
        <v>6000</v>
      </c>
      <c r="E32" s="26">
        <v>335.8</v>
      </c>
      <c r="F32" s="49">
        <f t="shared" si="4"/>
        <v>0</v>
      </c>
      <c r="G32" s="49">
        <v>0</v>
      </c>
      <c r="H32" s="49">
        <v>0</v>
      </c>
      <c r="I32" s="5">
        <f t="shared" si="1"/>
        <v>0</v>
      </c>
      <c r="J32" s="5"/>
      <c r="K32" s="5">
        <v>0</v>
      </c>
      <c r="Q32" s="55">
        <f t="shared" si="5"/>
        <v>0</v>
      </c>
      <c r="R32" s="55">
        <v>0</v>
      </c>
      <c r="S32" s="55">
        <v>0</v>
      </c>
    </row>
    <row r="33" spans="1:19" ht="69" customHeight="1">
      <c r="A33" s="90" t="s">
        <v>19</v>
      </c>
      <c r="B33" s="37" t="s">
        <v>52</v>
      </c>
      <c r="C33" s="25" t="e">
        <f t="shared" si="0"/>
        <v>#REF!</v>
      </c>
      <c r="D33" s="26" t="e">
        <f>#REF!+D35+D36+D37</f>
        <v>#REF!</v>
      </c>
      <c r="E33" s="26" t="e">
        <f>#REF!+E35+E36+E37</f>
        <v>#REF!</v>
      </c>
      <c r="F33" s="51">
        <f t="shared" si="4"/>
        <v>93524.4</v>
      </c>
      <c r="G33" s="48">
        <f>G34+G35+G36+G37+G38</f>
        <v>63117.899999999994</v>
      </c>
      <c r="H33" s="48">
        <f>H34+H35+H36+H37+H38</f>
        <v>30406.500000000004</v>
      </c>
      <c r="I33" s="3" t="e">
        <f t="shared" si="1"/>
        <v>#REF!</v>
      </c>
      <c r="J33" s="5" t="e">
        <f>#REF!+J35+J36+J37</f>
        <v>#REF!</v>
      </c>
      <c r="K33" s="5" t="e">
        <f>#REF!+K35+K36+K37+K34</f>
        <v>#REF!</v>
      </c>
      <c r="Q33" s="51">
        <f t="shared" si="5"/>
        <v>79347.1</v>
      </c>
      <c r="R33" s="48">
        <f>R34+R35+R36+R37+R38</f>
        <v>59716.8</v>
      </c>
      <c r="S33" s="48">
        <f>S34+S35+S36+S37+S38</f>
        <v>19630.300000000003</v>
      </c>
    </row>
    <row r="34" spans="1:19" ht="16.5" customHeight="1">
      <c r="A34" s="87"/>
      <c r="B34" s="42" t="s">
        <v>29</v>
      </c>
      <c r="C34" s="25"/>
      <c r="D34" s="26"/>
      <c r="E34" s="26"/>
      <c r="F34" s="50">
        <f t="shared" si="4"/>
        <v>975</v>
      </c>
      <c r="G34" s="49"/>
      <c r="H34" s="49">
        <f>1500-525</f>
        <v>975</v>
      </c>
      <c r="I34" s="3">
        <f>J34+K34</f>
        <v>4900</v>
      </c>
      <c r="J34" s="5"/>
      <c r="K34" s="5">
        <v>4900</v>
      </c>
      <c r="Q34" s="50">
        <f t="shared" si="5"/>
        <v>750</v>
      </c>
      <c r="R34" s="55"/>
      <c r="S34" s="55">
        <f>1500-750</f>
        <v>750</v>
      </c>
    </row>
    <row r="35" spans="1:19" ht="31.5" hidden="1">
      <c r="A35" s="88"/>
      <c r="B35" s="57" t="s">
        <v>41</v>
      </c>
      <c r="C35" s="25">
        <f t="shared" si="0"/>
        <v>6585</v>
      </c>
      <c r="D35" s="26"/>
      <c r="E35" s="26">
        <v>6585</v>
      </c>
      <c r="F35" s="50">
        <f t="shared" si="4"/>
        <v>0</v>
      </c>
      <c r="G35" s="49"/>
      <c r="H35" s="49">
        <v>0</v>
      </c>
      <c r="I35" s="3">
        <f t="shared" si="1"/>
        <v>2860</v>
      </c>
      <c r="J35" s="5"/>
      <c r="K35" s="5">
        <f>L35</f>
        <v>2860</v>
      </c>
      <c r="L35">
        <f>2660+200</f>
        <v>2860</v>
      </c>
      <c r="N35">
        <v>0</v>
      </c>
      <c r="Q35" s="50">
        <f t="shared" si="5"/>
        <v>0</v>
      </c>
      <c r="R35" s="55"/>
      <c r="S35" s="55">
        <v>0</v>
      </c>
    </row>
    <row r="36" spans="1:19" ht="45" customHeight="1" hidden="1">
      <c r="A36" s="88"/>
      <c r="B36" s="40" t="s">
        <v>42</v>
      </c>
      <c r="C36" s="25">
        <f t="shared" si="0"/>
        <v>3145</v>
      </c>
      <c r="D36" s="26"/>
      <c r="E36" s="26">
        <v>3145</v>
      </c>
      <c r="F36" s="50">
        <f>H36</f>
        <v>0</v>
      </c>
      <c r="G36" s="49"/>
      <c r="H36" s="49">
        <v>0</v>
      </c>
      <c r="I36" s="3">
        <f t="shared" si="1"/>
        <v>683</v>
      </c>
      <c r="J36" s="5"/>
      <c r="K36" s="5">
        <f>330+129+128+96</f>
        <v>683</v>
      </c>
      <c r="N36">
        <v>0</v>
      </c>
      <c r="Q36" s="50">
        <f>S36</f>
        <v>0</v>
      </c>
      <c r="R36" s="55"/>
      <c r="S36" s="55">
        <v>0</v>
      </c>
    </row>
    <row r="37" spans="1:19" ht="41.25" customHeight="1">
      <c r="A37" s="88"/>
      <c r="B37" s="57" t="s">
        <v>43</v>
      </c>
      <c r="C37" s="25">
        <f t="shared" si="0"/>
        <v>1007628.6</v>
      </c>
      <c r="D37" s="26">
        <f>118941.9+56841+800000</f>
        <v>975782.9</v>
      </c>
      <c r="E37" s="26">
        <v>31845.7</v>
      </c>
      <c r="F37" s="50">
        <f>G37+H37</f>
        <v>92549.4</v>
      </c>
      <c r="G37" s="49">
        <f>999.8+16455.6+9198+35144+1320.5</f>
        <v>63117.899999999994</v>
      </c>
      <c r="H37" s="49">
        <f>16167.8+20453+2925+2380+2392-5660-7160-1024-833-837+166.3+93+355+13.4</f>
        <v>29431.500000000004</v>
      </c>
      <c r="I37" s="3">
        <f t="shared" si="1"/>
        <v>15036.4</v>
      </c>
      <c r="J37" s="5"/>
      <c r="K37" s="5">
        <f>L37</f>
        <v>15036.4</v>
      </c>
      <c r="L37">
        <f>13036.4+2000</f>
        <v>15036.4</v>
      </c>
      <c r="M37">
        <f>15036.4+2000</f>
        <v>17036.4</v>
      </c>
      <c r="N37">
        <f>39130.7+900</f>
        <v>40030.7</v>
      </c>
      <c r="O37">
        <f>7825+400+17800+3100+1350</f>
        <v>30475</v>
      </c>
      <c r="Q37" s="50">
        <f>R37+S37</f>
        <v>78597.1</v>
      </c>
      <c r="R37" s="55">
        <f>999.8+15559.2+8614+33295.3+1248.5</f>
        <v>59716.8</v>
      </c>
      <c r="S37" s="55">
        <f>8415.9+20453+2925+2380+2392-4200-10230-1463-1190-1196+157.2+87.1+336.4+12.7</f>
        <v>18880.300000000003</v>
      </c>
    </row>
    <row r="38" spans="1:19" ht="53.25" customHeight="1">
      <c r="A38" s="27"/>
      <c r="B38" s="42" t="s">
        <v>67</v>
      </c>
      <c r="C38" s="28"/>
      <c r="D38" s="26"/>
      <c r="E38" s="26"/>
      <c r="F38" s="41">
        <f>G38+H38</f>
        <v>0</v>
      </c>
      <c r="G38" s="49">
        <v>0</v>
      </c>
      <c r="H38" s="49">
        <v>0</v>
      </c>
      <c r="I38" s="2"/>
      <c r="J38" s="5"/>
      <c r="K38" s="5"/>
      <c r="N38">
        <v>0</v>
      </c>
      <c r="Q38" s="41">
        <f>R38+S38</f>
        <v>0</v>
      </c>
      <c r="R38" s="55">
        <v>0</v>
      </c>
      <c r="S38" s="55">
        <v>0</v>
      </c>
    </row>
    <row r="39" spans="1:19" ht="67.5" customHeight="1">
      <c r="A39" s="90" t="s">
        <v>20</v>
      </c>
      <c r="B39" s="37" t="s">
        <v>53</v>
      </c>
      <c r="C39" s="28">
        <f t="shared" si="0"/>
        <v>8914.2</v>
      </c>
      <c r="D39" s="26">
        <f>D40+D41+D43+D44+D45+D47+D42</f>
        <v>7490.2</v>
      </c>
      <c r="E39" s="26">
        <f>E40+E41+E43+E44+E45+E47+E42</f>
        <v>1424</v>
      </c>
      <c r="F39" s="52">
        <f>G39+H39</f>
        <v>519.8</v>
      </c>
      <c r="G39" s="48">
        <f>G40+G41+G43+G44+G45+G47+G42+G46</f>
        <v>0</v>
      </c>
      <c r="H39" s="48">
        <f>H40+H41+H43+H44+H45+H47+H42+H46</f>
        <v>519.8</v>
      </c>
      <c r="I39" s="2">
        <f t="shared" si="1"/>
        <v>4211.8</v>
      </c>
      <c r="J39" s="5">
        <f>J40+J41+J43+J44+J45+J47+J42</f>
        <v>0</v>
      </c>
      <c r="K39" s="5">
        <f>K40+K41+K43+K44+K45+K47+K42</f>
        <v>4211.8</v>
      </c>
      <c r="Q39" s="52">
        <f>R39+S39</f>
        <v>400.4</v>
      </c>
      <c r="R39" s="48">
        <f>R40+R41+R43+R44+R45+R47+R42+R46</f>
        <v>0</v>
      </c>
      <c r="S39" s="48">
        <f>S40+S41+S43+S44+S45+S47+S42+S46</f>
        <v>400.4</v>
      </c>
    </row>
    <row r="40" spans="1:19" ht="26.25" customHeight="1">
      <c r="A40" s="88"/>
      <c r="B40" s="42" t="s">
        <v>29</v>
      </c>
      <c r="C40" s="25">
        <f aca="true" t="shared" si="6" ref="C40:C45">D40+E40</f>
        <v>118</v>
      </c>
      <c r="D40" s="26"/>
      <c r="E40" s="26">
        <v>118</v>
      </c>
      <c r="F40" s="50">
        <f>H40</f>
        <v>360.5</v>
      </c>
      <c r="G40" s="49">
        <v>0</v>
      </c>
      <c r="H40" s="49">
        <f>160+46+200+120+9+10+9-56-16-70-42-3-3.5-3</f>
        <v>360.5</v>
      </c>
      <c r="I40" s="3">
        <f t="shared" si="1"/>
        <v>118</v>
      </c>
      <c r="J40" s="5"/>
      <c r="K40" s="5">
        <f>100+5+8+5</f>
        <v>118</v>
      </c>
      <c r="O40">
        <f>118+50</f>
        <v>168</v>
      </c>
      <c r="Q40" s="50">
        <f>S40</f>
        <v>277</v>
      </c>
      <c r="R40" s="55">
        <v>0</v>
      </c>
      <c r="S40" s="55">
        <f>160+46+200+120+9+10+9-80-23-100-60-4.5-5-4.5</f>
        <v>277</v>
      </c>
    </row>
    <row r="41" spans="1:19" ht="51" customHeight="1">
      <c r="A41" s="88"/>
      <c r="B41" s="42" t="s">
        <v>67</v>
      </c>
      <c r="C41" s="25">
        <f t="shared" si="6"/>
        <v>585</v>
      </c>
      <c r="D41" s="26"/>
      <c r="E41" s="26">
        <v>585</v>
      </c>
      <c r="F41" s="50">
        <f>H41</f>
        <v>0</v>
      </c>
      <c r="G41" s="49"/>
      <c r="H41" s="49">
        <v>0</v>
      </c>
      <c r="I41" s="3">
        <f t="shared" si="1"/>
        <v>585</v>
      </c>
      <c r="J41" s="5"/>
      <c r="K41" s="5">
        <f>585</f>
        <v>585</v>
      </c>
      <c r="Q41" s="50">
        <f>S41</f>
        <v>0</v>
      </c>
      <c r="R41" s="55">
        <v>0</v>
      </c>
      <c r="S41" s="55">
        <v>0</v>
      </c>
    </row>
    <row r="42" spans="1:19" ht="34.5" customHeight="1">
      <c r="A42" s="88"/>
      <c r="B42" s="42" t="s">
        <v>33</v>
      </c>
      <c r="C42" s="25">
        <f>D42+E42</f>
        <v>20</v>
      </c>
      <c r="D42" s="26"/>
      <c r="E42" s="26">
        <v>20</v>
      </c>
      <c r="F42" s="50">
        <f>G42+H42</f>
        <v>16.5</v>
      </c>
      <c r="G42" s="49"/>
      <c r="H42" s="49">
        <f>10.4+15.6-4-5.5</f>
        <v>16.5</v>
      </c>
      <c r="I42" s="3">
        <f t="shared" si="1"/>
        <v>20</v>
      </c>
      <c r="J42" s="5"/>
      <c r="K42" s="5">
        <f>15+5</f>
        <v>20</v>
      </c>
      <c r="O42">
        <f>15+5</f>
        <v>20</v>
      </c>
      <c r="Q42" s="50">
        <f>R42+S42</f>
        <v>13.399999999999999</v>
      </c>
      <c r="R42" s="55">
        <v>0</v>
      </c>
      <c r="S42" s="55">
        <f>10.5+16.2-5.3-8</f>
        <v>13.399999999999999</v>
      </c>
    </row>
    <row r="43" spans="1:19" ht="39" customHeight="1" hidden="1">
      <c r="A43" s="88"/>
      <c r="B43" s="42" t="s">
        <v>34</v>
      </c>
      <c r="C43" s="25">
        <f t="shared" si="6"/>
        <v>500</v>
      </c>
      <c r="D43" s="26"/>
      <c r="E43" s="26">
        <v>500</v>
      </c>
      <c r="F43" s="50">
        <f>G43+H43</f>
        <v>0</v>
      </c>
      <c r="G43" s="49">
        <v>0</v>
      </c>
      <c r="H43" s="49">
        <f>U43</f>
        <v>0</v>
      </c>
      <c r="I43" s="3">
        <f t="shared" si="1"/>
        <v>3371.3</v>
      </c>
      <c r="J43" s="5"/>
      <c r="K43" s="5">
        <f>L43</f>
        <v>3371.3</v>
      </c>
      <c r="L43">
        <f>871.3+1500+1000</f>
        <v>3371.3</v>
      </c>
      <c r="M43">
        <f>3371.3-2020-101</f>
        <v>1250.3000000000002</v>
      </c>
      <c r="O43">
        <f>500+500-100</f>
        <v>900</v>
      </c>
      <c r="Q43" s="50">
        <f>R43+S43</f>
        <v>0</v>
      </c>
      <c r="R43" s="55">
        <v>0</v>
      </c>
      <c r="S43" s="55">
        <f>AF43</f>
        <v>0</v>
      </c>
    </row>
    <row r="44" spans="1:19" ht="38.25" customHeight="1">
      <c r="A44" s="88"/>
      <c r="B44" s="40" t="s">
        <v>68</v>
      </c>
      <c r="C44" s="25">
        <f t="shared" si="6"/>
        <v>50.5</v>
      </c>
      <c r="D44" s="26"/>
      <c r="E44" s="26">
        <v>50.5</v>
      </c>
      <c r="F44" s="50">
        <v>0</v>
      </c>
      <c r="G44" s="49"/>
      <c r="H44" s="49">
        <f>220-24.5-5.3-5.3-31.5-5.3-5.3</f>
        <v>142.79999999999995</v>
      </c>
      <c r="I44" s="3">
        <f t="shared" si="1"/>
        <v>52.5</v>
      </c>
      <c r="J44" s="5"/>
      <c r="K44" s="5">
        <v>52.5</v>
      </c>
      <c r="Q44" s="50">
        <v>0</v>
      </c>
      <c r="R44" s="55">
        <v>0</v>
      </c>
      <c r="S44" s="55">
        <f>220-35-7.5-7.5-45-7.5-7.5</f>
        <v>110</v>
      </c>
    </row>
    <row r="45" spans="1:19" ht="25.5" customHeight="1" hidden="1">
      <c r="A45" s="88"/>
      <c r="B45" s="42" t="s">
        <v>35</v>
      </c>
      <c r="C45" s="25">
        <f t="shared" si="6"/>
        <v>150.5</v>
      </c>
      <c r="D45" s="26"/>
      <c r="E45" s="26">
        <v>150.5</v>
      </c>
      <c r="F45" s="50">
        <f>H45</f>
        <v>0</v>
      </c>
      <c r="G45" s="49"/>
      <c r="H45" s="49">
        <v>0</v>
      </c>
      <c r="I45" s="3">
        <f t="shared" si="1"/>
        <v>65</v>
      </c>
      <c r="J45" s="5"/>
      <c r="K45" s="5">
        <v>65</v>
      </c>
      <c r="Q45" s="50">
        <f>S45</f>
        <v>0</v>
      </c>
      <c r="R45" s="55"/>
      <c r="S45" s="55">
        <v>0</v>
      </c>
    </row>
    <row r="46" spans="1:21" ht="39" customHeight="1">
      <c r="A46" s="88"/>
      <c r="B46" s="42" t="s">
        <v>40</v>
      </c>
      <c r="C46" s="28"/>
      <c r="D46" s="26"/>
      <c r="E46" s="26"/>
      <c r="F46" s="41">
        <f>G46+H46</f>
        <v>0</v>
      </c>
      <c r="G46" s="49"/>
      <c r="H46" s="49">
        <v>0</v>
      </c>
      <c r="I46" s="2"/>
      <c r="J46" s="5"/>
      <c r="K46" s="5"/>
      <c r="Q46" s="41">
        <f>R46+S46</f>
        <v>0</v>
      </c>
      <c r="R46" s="55">
        <v>0</v>
      </c>
      <c r="S46" s="55">
        <v>0</v>
      </c>
      <c r="U46" s="33"/>
    </row>
    <row r="47" spans="1:19" ht="41.25" customHeight="1">
      <c r="A47" s="88"/>
      <c r="B47" s="40" t="s">
        <v>43</v>
      </c>
      <c r="C47" s="28">
        <f>D47+E47</f>
        <v>7490.2</v>
      </c>
      <c r="D47" s="26">
        <v>7490.2</v>
      </c>
      <c r="E47" s="26">
        <v>0</v>
      </c>
      <c r="F47" s="41">
        <f>G47+H47</f>
        <v>0</v>
      </c>
      <c r="G47" s="49">
        <v>0</v>
      </c>
      <c r="H47" s="49">
        <v>0</v>
      </c>
      <c r="I47" s="2">
        <f t="shared" si="1"/>
        <v>0</v>
      </c>
      <c r="J47" s="5"/>
      <c r="K47" s="5"/>
      <c r="Q47" s="41">
        <f>R47+S47</f>
        <v>0</v>
      </c>
      <c r="R47" s="55">
        <v>0</v>
      </c>
      <c r="S47" s="55">
        <v>0</v>
      </c>
    </row>
    <row r="48" spans="1:19" ht="47.25">
      <c r="A48" s="91" t="s">
        <v>21</v>
      </c>
      <c r="B48" s="37" t="s">
        <v>54</v>
      </c>
      <c r="C48" s="28">
        <f>D48+E48</f>
        <v>155663.80000000002</v>
      </c>
      <c r="D48" s="25">
        <f>D50+D51</f>
        <v>17795.1</v>
      </c>
      <c r="E48" s="25">
        <f>E50+E51</f>
        <v>137868.7</v>
      </c>
      <c r="F48" s="52">
        <f>G48+H48</f>
        <v>167934.6</v>
      </c>
      <c r="G48" s="51">
        <f>G49+G50+G51+G53</f>
        <v>12494.2</v>
      </c>
      <c r="H48" s="51">
        <f>H50+H51+H53</f>
        <v>155440.4</v>
      </c>
      <c r="I48" s="17">
        <f t="shared" si="1"/>
        <v>113722</v>
      </c>
      <c r="J48" s="18">
        <f>J50+J51</f>
        <v>0</v>
      </c>
      <c r="K48" s="18">
        <f>K50+K51</f>
        <v>113722</v>
      </c>
      <c r="Q48" s="52">
        <f>R48+S48</f>
        <v>124238.20000000003</v>
      </c>
      <c r="R48" s="51">
        <f>R49+R50+R51+R53</f>
        <v>633.7</v>
      </c>
      <c r="S48" s="51">
        <f>S49+S50+S51+S53</f>
        <v>123604.50000000003</v>
      </c>
    </row>
    <row r="49" spans="1:19" ht="31.5" hidden="1">
      <c r="A49" s="88"/>
      <c r="B49" s="42" t="s">
        <v>34</v>
      </c>
      <c r="C49" s="28"/>
      <c r="D49" s="25"/>
      <c r="E49" s="25"/>
      <c r="F49" s="41">
        <f>G49+H49</f>
        <v>0</v>
      </c>
      <c r="G49" s="50">
        <v>0</v>
      </c>
      <c r="H49" s="50">
        <v>0</v>
      </c>
      <c r="I49" s="2"/>
      <c r="J49" s="3"/>
      <c r="K49" s="3"/>
      <c r="Q49" s="41">
        <f>R49+S49</f>
        <v>0</v>
      </c>
      <c r="R49" s="50">
        <v>0</v>
      </c>
      <c r="S49" s="50">
        <v>0</v>
      </c>
    </row>
    <row r="50" spans="1:19" ht="44.25" customHeight="1">
      <c r="A50" s="88"/>
      <c r="B50" s="40" t="s">
        <v>68</v>
      </c>
      <c r="C50" s="28">
        <f>E50+D50</f>
        <v>155463.80000000002</v>
      </c>
      <c r="D50" s="25">
        <f>17143.5+160+160+280+51.6</f>
        <v>17795.1</v>
      </c>
      <c r="E50" s="25">
        <v>137668.7</v>
      </c>
      <c r="F50" s="41">
        <f>H50+G50</f>
        <v>167934.6</v>
      </c>
      <c r="G50" s="50">
        <f>174.6+125.1+66+86+96+86+11860.5</f>
        <v>12494.2</v>
      </c>
      <c r="H50" s="50">
        <f>47514+85221+15945+52741+67027+3934-16630-18459-5580-29827-18294-4991-175-1377+2000+2000+233.5+1000+119.9-21900-4737-325</f>
        <v>155440.4</v>
      </c>
      <c r="I50" s="2">
        <f>K50+J50</f>
        <v>113502</v>
      </c>
      <c r="J50" s="3"/>
      <c r="K50" s="3">
        <f>L50</f>
        <v>113502</v>
      </c>
      <c r="L50">
        <f>89502+3000+1000+5000+15000</f>
        <v>113502</v>
      </c>
      <c r="M50">
        <f>113502+310+860+362+12</f>
        <v>115046</v>
      </c>
      <c r="N50">
        <f>40+250+40+60+174.6</f>
        <v>564.6</v>
      </c>
      <c r="O50">
        <f>30000+29400+7720+49810+600</f>
        <v>117530</v>
      </c>
      <c r="Q50" s="41">
        <v>0</v>
      </c>
      <c r="R50" s="50">
        <f>174.6+125.1+66+86+96+86</f>
        <v>633.7</v>
      </c>
      <c r="S50" s="50">
        <f>47772+89679+16793.9+55543+68341+4091-23886-27772-8397-44840-26510-7411-250-2046+1000+1000+1000+382.6-16850-3786-250</f>
        <v>123604.50000000003</v>
      </c>
    </row>
    <row r="51" spans="1:19" ht="46.5" customHeight="1">
      <c r="A51" s="89"/>
      <c r="B51" s="40" t="s">
        <v>43</v>
      </c>
      <c r="C51" s="28">
        <f>E51+D51</f>
        <v>200</v>
      </c>
      <c r="D51" s="25">
        <v>0</v>
      </c>
      <c r="E51" s="25">
        <v>200</v>
      </c>
      <c r="F51" s="41">
        <f>H51</f>
        <v>0</v>
      </c>
      <c r="G51" s="50"/>
      <c r="H51" s="50">
        <v>0</v>
      </c>
      <c r="I51" s="2">
        <f>K51+J51</f>
        <v>220</v>
      </c>
      <c r="J51" s="3"/>
      <c r="K51" s="3">
        <v>220</v>
      </c>
      <c r="Q51" s="41">
        <f>S51</f>
        <v>0</v>
      </c>
      <c r="R51" s="50">
        <v>0</v>
      </c>
      <c r="S51" s="50">
        <v>0</v>
      </c>
    </row>
    <row r="52" spans="1:19" ht="28.5" customHeight="1" hidden="1">
      <c r="A52" s="27"/>
      <c r="B52" s="42"/>
      <c r="C52" s="28">
        <f>E52+D52</f>
        <v>200</v>
      </c>
      <c r="D52" s="25">
        <v>0</v>
      </c>
      <c r="E52" s="25">
        <v>200</v>
      </c>
      <c r="F52" s="41">
        <f>H52+G52</f>
        <v>0</v>
      </c>
      <c r="G52" s="50"/>
      <c r="H52" s="50">
        <v>0</v>
      </c>
      <c r="I52" s="2">
        <f>K52+J52</f>
        <v>0</v>
      </c>
      <c r="J52" s="3"/>
      <c r="K52" s="3">
        <v>0</v>
      </c>
      <c r="Q52" s="41">
        <f>S52+R52</f>
        <v>0</v>
      </c>
      <c r="R52" s="50"/>
      <c r="S52" s="50">
        <v>0</v>
      </c>
    </row>
    <row r="53" spans="1:19" ht="54" customHeight="1">
      <c r="A53" s="32"/>
      <c r="B53" s="42" t="s">
        <v>67</v>
      </c>
      <c r="C53" s="28"/>
      <c r="D53" s="25"/>
      <c r="E53" s="25"/>
      <c r="F53" s="41">
        <f>G53+H53</f>
        <v>0</v>
      </c>
      <c r="G53" s="50"/>
      <c r="H53" s="50">
        <v>0</v>
      </c>
      <c r="I53" s="2"/>
      <c r="J53" s="3"/>
      <c r="K53" s="3"/>
      <c r="Q53" s="41">
        <f>R53+S53</f>
        <v>0</v>
      </c>
      <c r="R53" s="50">
        <v>0</v>
      </c>
      <c r="S53" s="50">
        <v>0</v>
      </c>
    </row>
    <row r="54" spans="1:19" ht="67.5" customHeight="1">
      <c r="A54" s="90" t="s">
        <v>22</v>
      </c>
      <c r="B54" s="35" t="s">
        <v>23</v>
      </c>
      <c r="C54" s="28">
        <f aca="true" t="shared" si="7" ref="C54:C61">D54+E54</f>
        <v>45453.299999999996</v>
      </c>
      <c r="D54" s="25">
        <f>D55+D57+D58+D59</f>
        <v>6876.2</v>
      </c>
      <c r="E54" s="25">
        <f>E55+E57+E58+E59</f>
        <v>38577.1</v>
      </c>
      <c r="F54" s="52">
        <f>G54+H54</f>
        <v>250446.60000000003</v>
      </c>
      <c r="G54" s="51">
        <f>G55+G57+G58+G59+G56</f>
        <v>168723.2</v>
      </c>
      <c r="H54" s="51">
        <f>H55+H57+H58+H59+H56</f>
        <v>81723.40000000001</v>
      </c>
      <c r="I54" s="17">
        <f aca="true" t="shared" si="8" ref="I54:I63">J54+K54</f>
        <v>49361.2</v>
      </c>
      <c r="J54" s="18">
        <f>J55+J57+J58+J59</f>
        <v>0</v>
      </c>
      <c r="K54" s="18">
        <f>K55+K57+K58+K59+K56</f>
        <v>49361.2</v>
      </c>
      <c r="Q54" s="52">
        <f>R54+S54</f>
        <v>63785.100000000006</v>
      </c>
      <c r="R54" s="51">
        <f>R55+R57+R58+R59+R56</f>
        <v>2228.5</v>
      </c>
      <c r="S54" s="51">
        <f>S55+S57+S58+S59+S56</f>
        <v>61556.600000000006</v>
      </c>
    </row>
    <row r="55" spans="1:19" ht="44.25" customHeight="1">
      <c r="A55" s="87"/>
      <c r="B55" s="42" t="s">
        <v>67</v>
      </c>
      <c r="C55" s="28">
        <f t="shared" si="7"/>
        <v>65</v>
      </c>
      <c r="D55" s="25"/>
      <c r="E55" s="25">
        <v>65</v>
      </c>
      <c r="F55" s="41">
        <v>0</v>
      </c>
      <c r="G55" s="50"/>
      <c r="H55" s="50">
        <v>0</v>
      </c>
      <c r="I55" s="2">
        <f t="shared" si="8"/>
        <v>65</v>
      </c>
      <c r="J55" s="3"/>
      <c r="K55" s="3">
        <v>65</v>
      </c>
      <c r="Q55" s="41">
        <v>0</v>
      </c>
      <c r="R55" s="50">
        <v>0</v>
      </c>
      <c r="S55" s="50">
        <v>0</v>
      </c>
    </row>
    <row r="56" spans="1:19" ht="41.25" customHeight="1">
      <c r="A56" s="87"/>
      <c r="B56" s="40" t="s">
        <v>43</v>
      </c>
      <c r="C56" s="28">
        <f>D56+E56</f>
        <v>6041.1</v>
      </c>
      <c r="D56" s="25">
        <f>5870</f>
        <v>5870</v>
      </c>
      <c r="E56" s="25">
        <v>171.1</v>
      </c>
      <c r="F56" s="41">
        <f aca="true" t="shared" si="9" ref="F56:F63">G56+H56</f>
        <v>168029.3</v>
      </c>
      <c r="G56" s="50">
        <f>166349</f>
        <v>166349</v>
      </c>
      <c r="H56" s="50">
        <v>1680.3</v>
      </c>
      <c r="I56" s="2">
        <f>J56+K56</f>
        <v>28</v>
      </c>
      <c r="J56" s="3"/>
      <c r="K56" s="3">
        <f>L56</f>
        <v>28</v>
      </c>
      <c r="L56">
        <f>28</f>
        <v>28</v>
      </c>
      <c r="Q56" s="41">
        <f aca="true" t="shared" si="10" ref="Q56:Q63">R56+S56</f>
        <v>0</v>
      </c>
      <c r="R56" s="50">
        <v>0</v>
      </c>
      <c r="S56" s="50">
        <v>0</v>
      </c>
    </row>
    <row r="57" spans="1:19" ht="27.75" customHeight="1" hidden="1">
      <c r="A57" s="87"/>
      <c r="B57" s="42" t="s">
        <v>34</v>
      </c>
      <c r="C57" s="28">
        <f t="shared" si="7"/>
        <v>6041.1</v>
      </c>
      <c r="D57" s="25">
        <f>5870</f>
        <v>5870</v>
      </c>
      <c r="E57" s="25">
        <v>171.1</v>
      </c>
      <c r="F57" s="41">
        <f t="shared" si="9"/>
        <v>0</v>
      </c>
      <c r="G57" s="50">
        <v>0</v>
      </c>
      <c r="H57" s="50">
        <v>0</v>
      </c>
      <c r="I57" s="2">
        <f t="shared" si="8"/>
        <v>2721</v>
      </c>
      <c r="J57" s="3"/>
      <c r="K57" s="3">
        <f>L57</f>
        <v>2721</v>
      </c>
      <c r="L57">
        <f>2590+131</f>
        <v>2721</v>
      </c>
      <c r="M57">
        <f>2721-43</f>
        <v>2678</v>
      </c>
      <c r="N57">
        <v>0</v>
      </c>
      <c r="Q57" s="41">
        <f t="shared" si="10"/>
        <v>0</v>
      </c>
      <c r="R57" s="50">
        <v>0</v>
      </c>
      <c r="S57" s="50">
        <v>0</v>
      </c>
    </row>
    <row r="58" spans="1:19" ht="37.5" customHeight="1">
      <c r="A58" s="87"/>
      <c r="B58" s="40" t="s">
        <v>68</v>
      </c>
      <c r="C58" s="28">
        <f t="shared" si="7"/>
        <v>193</v>
      </c>
      <c r="D58" s="25"/>
      <c r="E58" s="25">
        <v>193</v>
      </c>
      <c r="F58" s="41">
        <f t="shared" si="9"/>
        <v>82417.3</v>
      </c>
      <c r="G58" s="50">
        <f>96+554+1724.2</f>
        <v>2374.2</v>
      </c>
      <c r="H58" s="50">
        <f>73435+2037+3079-713-1078-25702+2000+5.6+17.5+21900+4737+325</f>
        <v>80043.1</v>
      </c>
      <c r="I58" s="2">
        <f t="shared" si="8"/>
        <v>195</v>
      </c>
      <c r="J58" s="3"/>
      <c r="K58" s="3">
        <v>195</v>
      </c>
      <c r="Q58" s="41">
        <f t="shared" si="10"/>
        <v>63785.100000000006</v>
      </c>
      <c r="R58" s="50">
        <f>96+523.9+1608.6</f>
        <v>2228.5</v>
      </c>
      <c r="S58" s="50">
        <f>73979+2119+3203-1060-1602-36990+1000+5.3+16.3+16850+3786+250</f>
        <v>61556.600000000006</v>
      </c>
    </row>
    <row r="59" spans="1:19" ht="26.25" customHeight="1" hidden="1">
      <c r="A59" s="89"/>
      <c r="B59" s="42" t="s">
        <v>35</v>
      </c>
      <c r="C59" s="28">
        <f t="shared" si="7"/>
        <v>39154.2</v>
      </c>
      <c r="D59" s="25">
        <f>516+390.2+100</f>
        <v>1006.2</v>
      </c>
      <c r="E59" s="25">
        <v>38148</v>
      </c>
      <c r="F59" s="41">
        <f t="shared" si="9"/>
        <v>0</v>
      </c>
      <c r="G59" s="50">
        <v>0</v>
      </c>
      <c r="H59" s="50">
        <v>0</v>
      </c>
      <c r="I59" s="2">
        <f t="shared" si="8"/>
        <v>46352.2</v>
      </c>
      <c r="J59" s="3"/>
      <c r="K59" s="3">
        <f>L59</f>
        <v>46352.2</v>
      </c>
      <c r="L59">
        <f>38130+2000+4000+2200+6.2+4+7+5</f>
        <v>46352.2</v>
      </c>
      <c r="M59">
        <f>46352.2+1000+43</f>
        <v>47395.2</v>
      </c>
      <c r="N59">
        <f>60+937.5</f>
        <v>997.5</v>
      </c>
      <c r="O59">
        <f>35574+700+600+400+550+10+15604.8+2730.1</f>
        <v>56168.9</v>
      </c>
      <c r="Q59" s="41">
        <f t="shared" si="10"/>
        <v>0</v>
      </c>
      <c r="R59" s="50">
        <v>0</v>
      </c>
      <c r="S59" s="50">
        <v>0</v>
      </c>
    </row>
    <row r="60" spans="1:19" ht="62.25" customHeight="1">
      <c r="A60" s="90" t="s">
        <v>24</v>
      </c>
      <c r="B60" s="35" t="s">
        <v>37</v>
      </c>
      <c r="C60" s="28" t="e">
        <f t="shared" si="7"/>
        <v>#REF!</v>
      </c>
      <c r="D60" s="25" t="e">
        <f>#REF!+D61</f>
        <v>#REF!</v>
      </c>
      <c r="E60" s="25" t="e">
        <f>#REF!+E61</f>
        <v>#REF!</v>
      </c>
      <c r="F60" s="52">
        <f t="shared" si="9"/>
        <v>188288.5</v>
      </c>
      <c r="G60" s="51">
        <f>G61</f>
        <v>91920.5</v>
      </c>
      <c r="H60" s="51">
        <f>H61+H62+H63</f>
        <v>96368</v>
      </c>
      <c r="I60" s="17" t="e">
        <f>J60+K60</f>
        <v>#REF!</v>
      </c>
      <c r="J60" s="18" t="e">
        <f>#REF!+J61</f>
        <v>#REF!</v>
      </c>
      <c r="K60" s="18" t="e">
        <f>#REF!+K61+K62+K63</f>
        <v>#REF!</v>
      </c>
      <c r="Q60" s="52">
        <f t="shared" si="10"/>
        <v>111511.8</v>
      </c>
      <c r="R60" s="51">
        <f>R61</f>
        <v>14838.1</v>
      </c>
      <c r="S60" s="51">
        <f>S61+S62+S63</f>
        <v>96673.7</v>
      </c>
    </row>
    <row r="61" spans="1:21" ht="39.75" customHeight="1">
      <c r="A61" s="88"/>
      <c r="B61" s="40" t="s">
        <v>43</v>
      </c>
      <c r="C61" s="28">
        <f t="shared" si="7"/>
        <v>74771.5</v>
      </c>
      <c r="D61" s="25"/>
      <c r="E61" s="25">
        <v>74771.5</v>
      </c>
      <c r="F61" s="41">
        <f t="shared" si="9"/>
        <v>188288.5</v>
      </c>
      <c r="G61" s="50">
        <f>4574.2+87346.3</f>
        <v>91920.5</v>
      </c>
      <c r="H61" s="50">
        <f>4000-1400+8268+5500+6000+6000+65000+3000</f>
        <v>96368</v>
      </c>
      <c r="I61" s="2">
        <f t="shared" si="8"/>
        <v>178111</v>
      </c>
      <c r="J61" s="3"/>
      <c r="K61" s="3">
        <f>L61</f>
        <v>178111</v>
      </c>
      <c r="L61">
        <f>176412.1-17174.7+2170+16703.6</f>
        <v>178111</v>
      </c>
      <c r="N61">
        <v>0</v>
      </c>
      <c r="O61">
        <f>4000+38369+25556+400-712</f>
        <v>67613</v>
      </c>
      <c r="Q61" s="41">
        <f t="shared" si="10"/>
        <v>111511.8</v>
      </c>
      <c r="R61" s="50">
        <f>14838.1</f>
        <v>14838.1</v>
      </c>
      <c r="S61" s="50">
        <f>4000-2000+9173.7+5500+6000+6000+65000+3000</f>
        <v>96673.7</v>
      </c>
      <c r="U61">
        <v>0</v>
      </c>
    </row>
    <row r="62" spans="1:19" ht="36.75" customHeight="1" hidden="1">
      <c r="A62" s="27"/>
      <c r="B62" s="40" t="s">
        <v>41</v>
      </c>
      <c r="C62" s="28"/>
      <c r="D62" s="25"/>
      <c r="E62" s="25"/>
      <c r="F62" s="41">
        <f t="shared" si="9"/>
        <v>0</v>
      </c>
      <c r="G62" s="50"/>
      <c r="H62" s="50">
        <v>0</v>
      </c>
      <c r="I62" s="2">
        <f t="shared" si="8"/>
        <v>6900</v>
      </c>
      <c r="J62" s="3"/>
      <c r="K62" s="3">
        <f>L62</f>
        <v>6900</v>
      </c>
      <c r="L62">
        <f>4230+2670</f>
        <v>6900</v>
      </c>
      <c r="N62">
        <v>0</v>
      </c>
      <c r="Q62" s="41">
        <f t="shared" si="10"/>
        <v>0</v>
      </c>
      <c r="R62" s="50"/>
      <c r="S62" s="50">
        <v>0</v>
      </c>
    </row>
    <row r="63" spans="1:19" ht="36" customHeight="1" hidden="1">
      <c r="A63" s="27"/>
      <c r="B63" s="40" t="s">
        <v>42</v>
      </c>
      <c r="C63" s="28"/>
      <c r="D63" s="25"/>
      <c r="E63" s="25"/>
      <c r="F63" s="41">
        <f t="shared" si="9"/>
        <v>0</v>
      </c>
      <c r="G63" s="50"/>
      <c r="H63" s="50">
        <v>0</v>
      </c>
      <c r="I63" s="2">
        <f t="shared" si="8"/>
        <v>2750</v>
      </c>
      <c r="J63" s="3"/>
      <c r="K63" s="3">
        <v>2750</v>
      </c>
      <c r="N63">
        <v>0</v>
      </c>
      <c r="Q63" s="41">
        <f t="shared" si="10"/>
        <v>0</v>
      </c>
      <c r="R63" s="50"/>
      <c r="S63" s="50">
        <v>0</v>
      </c>
    </row>
    <row r="64" spans="1:19" ht="55.5" customHeight="1">
      <c r="A64" s="90" t="s">
        <v>25</v>
      </c>
      <c r="B64" s="35" t="s">
        <v>38</v>
      </c>
      <c r="C64" s="28">
        <f aca="true" t="shared" si="11" ref="C64:K64">C65</f>
        <v>920</v>
      </c>
      <c r="D64" s="25">
        <f t="shared" si="11"/>
        <v>0</v>
      </c>
      <c r="E64" s="25">
        <f t="shared" si="11"/>
        <v>920</v>
      </c>
      <c r="F64" s="52">
        <f t="shared" si="11"/>
        <v>22301.8</v>
      </c>
      <c r="G64" s="51">
        <f t="shared" si="11"/>
        <v>21387.2</v>
      </c>
      <c r="H64" s="51">
        <f t="shared" si="11"/>
        <v>914.6</v>
      </c>
      <c r="I64" s="17">
        <f t="shared" si="11"/>
        <v>1935</v>
      </c>
      <c r="J64" s="18">
        <f t="shared" si="11"/>
        <v>0</v>
      </c>
      <c r="K64" s="18">
        <f t="shared" si="11"/>
        <v>1935</v>
      </c>
      <c r="Q64" s="52">
        <f>Q65</f>
        <v>18926.3</v>
      </c>
      <c r="R64" s="51">
        <f>R65</f>
        <v>18204.8</v>
      </c>
      <c r="S64" s="51">
        <f>S65</f>
        <v>721.5</v>
      </c>
    </row>
    <row r="65" spans="1:19" ht="18.75" customHeight="1">
      <c r="A65" s="89"/>
      <c r="B65" s="42" t="s">
        <v>29</v>
      </c>
      <c r="C65" s="28">
        <f>D65+E65</f>
        <v>920</v>
      </c>
      <c r="D65" s="25"/>
      <c r="E65" s="25">
        <v>920</v>
      </c>
      <c r="F65" s="41">
        <f>G65+H65</f>
        <v>22301.8</v>
      </c>
      <c r="G65" s="50">
        <f>1191.4+20195.8</f>
        <v>21387.2</v>
      </c>
      <c r="H65" s="50">
        <f>5+50+238+238+20+34+200+100+190-2-17.5-83-83-7-12-70-35-67+12.1+204</f>
        <v>914.6</v>
      </c>
      <c r="I65" s="2">
        <f>J65+K65</f>
        <v>1935</v>
      </c>
      <c r="J65" s="3"/>
      <c r="K65" s="3">
        <f>L65</f>
        <v>1935</v>
      </c>
      <c r="L65">
        <f>920+65+20+430+500</f>
        <v>1935</v>
      </c>
      <c r="M65">
        <f>1935+150</f>
        <v>2085</v>
      </c>
      <c r="N65">
        <v>0</v>
      </c>
      <c r="O65">
        <f>410+3750-2500</f>
        <v>1660</v>
      </c>
      <c r="Q65" s="41">
        <f>R65+S65</f>
        <v>18926.3</v>
      </c>
      <c r="R65" s="50">
        <f>1131.8+17073</f>
        <v>18204.8</v>
      </c>
      <c r="S65" s="50">
        <f>5+50+238+238+20+34+200+100+190-2.5-25-119-119-10-17-100-50-95+11.5+172.5</f>
        <v>721.5</v>
      </c>
    </row>
    <row r="66" spans="1:19" ht="51.75" customHeight="1">
      <c r="A66" s="90" t="s">
        <v>26</v>
      </c>
      <c r="B66" s="37" t="s">
        <v>61</v>
      </c>
      <c r="C66" s="28">
        <f>D66+E66</f>
        <v>16138.3</v>
      </c>
      <c r="D66" s="25">
        <f>D67+D68+D69+D70+D72+D71+D72+D73</f>
        <v>0</v>
      </c>
      <c r="E66" s="25">
        <f>E67+E68+E69+E70+E71+E72+E73</f>
        <v>16138.3</v>
      </c>
      <c r="F66" s="52">
        <f>G66+H66</f>
        <v>6326.799999999999</v>
      </c>
      <c r="G66" s="51">
        <f>G67+G68+G69+G70+G72+G71+G72+G73</f>
        <v>0</v>
      </c>
      <c r="H66" s="51">
        <f>H67+H68+H69+H70+H71+H72+H73</f>
        <v>6326.799999999999</v>
      </c>
      <c r="I66" s="17">
        <f>J66+K66</f>
        <v>15547.3</v>
      </c>
      <c r="J66" s="18">
        <f>J67+J68+J69+J70+J72+J71+J72+J73</f>
        <v>0</v>
      </c>
      <c r="K66" s="18">
        <f>K67+K68+K69+K70+K71+K72+K73</f>
        <v>15547.3</v>
      </c>
      <c r="Q66" s="52">
        <f>R66+S66</f>
        <v>4816.799999999999</v>
      </c>
      <c r="R66" s="51">
        <v>0</v>
      </c>
      <c r="S66" s="51">
        <f>S67+S68+S69+S70+S71+S72+S73</f>
        <v>4816.799999999999</v>
      </c>
    </row>
    <row r="67" spans="1:19" ht="18" customHeight="1">
      <c r="A67" s="88"/>
      <c r="B67" s="42" t="s">
        <v>29</v>
      </c>
      <c r="C67" s="28">
        <f>D67+E67</f>
        <v>6200</v>
      </c>
      <c r="D67" s="25"/>
      <c r="E67" s="25">
        <v>6200</v>
      </c>
      <c r="F67" s="41">
        <f>G67+H67</f>
        <v>6326.799999999999</v>
      </c>
      <c r="G67" s="50">
        <v>0</v>
      </c>
      <c r="H67" s="50">
        <f>8806.3+406.5+420+100-142-147-35-3082</f>
        <v>6326.799999999999</v>
      </c>
      <c r="I67" s="2">
        <f>J67+K67</f>
        <v>6200</v>
      </c>
      <c r="J67" s="3"/>
      <c r="K67" s="3">
        <f>900+700+4600</f>
        <v>6200</v>
      </c>
      <c r="N67">
        <v>0</v>
      </c>
      <c r="O67">
        <f>700+4600</f>
        <v>5300</v>
      </c>
      <c r="Q67" s="41">
        <f>R67+S67</f>
        <v>4816.799999999999</v>
      </c>
      <c r="R67" s="50">
        <v>0</v>
      </c>
      <c r="S67" s="50">
        <f>8806.3+406.5+420-203-210-4403</f>
        <v>4816.799999999999</v>
      </c>
    </row>
    <row r="68" spans="1:19" ht="56.25" customHeight="1">
      <c r="A68" s="88"/>
      <c r="B68" s="42" t="s">
        <v>67</v>
      </c>
      <c r="C68" s="28">
        <f aca="true" t="shared" si="12" ref="C68:C73">D68+E68</f>
        <v>8945</v>
      </c>
      <c r="D68" s="25"/>
      <c r="E68" s="25">
        <v>8945</v>
      </c>
      <c r="F68" s="41">
        <v>0</v>
      </c>
      <c r="G68" s="50">
        <v>0</v>
      </c>
      <c r="H68" s="50">
        <v>0</v>
      </c>
      <c r="I68" s="2">
        <f aca="true" t="shared" si="13" ref="I68:I73">J68+K68</f>
        <v>8850</v>
      </c>
      <c r="J68" s="3"/>
      <c r="K68" s="3">
        <f>100+400+2350+3000+3000</f>
        <v>8850</v>
      </c>
      <c r="O68">
        <f>2224+100+812-50</f>
        <v>3086</v>
      </c>
      <c r="Q68" s="41">
        <v>0</v>
      </c>
      <c r="R68" s="50">
        <v>0</v>
      </c>
      <c r="S68" s="50">
        <v>0</v>
      </c>
    </row>
    <row r="69" spans="1:19" ht="37.5" customHeight="1">
      <c r="A69" s="88"/>
      <c r="B69" s="42" t="s">
        <v>33</v>
      </c>
      <c r="C69" s="28">
        <f t="shared" si="12"/>
        <v>122</v>
      </c>
      <c r="D69" s="25"/>
      <c r="E69" s="25">
        <v>122</v>
      </c>
      <c r="F69" s="41">
        <f>G69+H69</f>
        <v>0</v>
      </c>
      <c r="G69" s="50">
        <v>0</v>
      </c>
      <c r="H69" s="50">
        <v>0</v>
      </c>
      <c r="I69" s="2">
        <f t="shared" si="13"/>
        <v>0</v>
      </c>
      <c r="J69" s="3"/>
      <c r="K69" s="3"/>
      <c r="Q69" s="41">
        <f>R69+S69</f>
        <v>0</v>
      </c>
      <c r="R69" s="50">
        <v>0</v>
      </c>
      <c r="S69" s="50">
        <v>0</v>
      </c>
    </row>
    <row r="70" spans="1:19" ht="36.75" customHeight="1" hidden="1">
      <c r="A70" s="88"/>
      <c r="B70" s="42" t="s">
        <v>34</v>
      </c>
      <c r="C70" s="28">
        <f t="shared" si="12"/>
        <v>415</v>
      </c>
      <c r="D70" s="25"/>
      <c r="E70" s="25">
        <v>415</v>
      </c>
      <c r="F70" s="41">
        <v>0</v>
      </c>
      <c r="G70" s="50"/>
      <c r="H70" s="50">
        <v>0</v>
      </c>
      <c r="I70" s="2">
        <f t="shared" si="13"/>
        <v>400</v>
      </c>
      <c r="J70" s="3"/>
      <c r="K70" s="3">
        <v>400</v>
      </c>
      <c r="Q70" s="41">
        <v>0</v>
      </c>
      <c r="R70" s="50"/>
      <c r="S70" s="50">
        <v>0</v>
      </c>
    </row>
    <row r="71" spans="1:19" ht="41.25" customHeight="1">
      <c r="A71" s="88"/>
      <c r="B71" s="40" t="s">
        <v>68</v>
      </c>
      <c r="C71" s="28">
        <f t="shared" si="12"/>
        <v>210</v>
      </c>
      <c r="D71" s="25"/>
      <c r="E71" s="25">
        <v>210</v>
      </c>
      <c r="F71" s="41">
        <f>G71+H71</f>
        <v>0</v>
      </c>
      <c r="G71" s="50">
        <v>0</v>
      </c>
      <c r="H71" s="50">
        <v>0</v>
      </c>
      <c r="I71" s="2">
        <f t="shared" si="13"/>
        <v>0</v>
      </c>
      <c r="J71" s="3"/>
      <c r="K71" s="3"/>
      <c r="Q71" s="41">
        <f>R71+S71</f>
        <v>0</v>
      </c>
      <c r="R71" s="50">
        <v>0</v>
      </c>
      <c r="S71" s="50">
        <v>0</v>
      </c>
    </row>
    <row r="72" spans="1:19" ht="36" customHeight="1" hidden="1">
      <c r="A72" s="88"/>
      <c r="B72" s="42" t="s">
        <v>35</v>
      </c>
      <c r="C72" s="28">
        <f t="shared" si="12"/>
        <v>92</v>
      </c>
      <c r="D72" s="25"/>
      <c r="E72" s="25">
        <v>92</v>
      </c>
      <c r="F72" s="41">
        <f>G72+H72</f>
        <v>0</v>
      </c>
      <c r="G72" s="50"/>
      <c r="H72" s="50"/>
      <c r="I72" s="2">
        <f t="shared" si="13"/>
        <v>0</v>
      </c>
      <c r="J72" s="3"/>
      <c r="K72" s="3"/>
      <c r="Q72" s="41">
        <f>R72+S72</f>
        <v>0</v>
      </c>
      <c r="R72" s="50"/>
      <c r="S72" s="50"/>
    </row>
    <row r="73" spans="1:19" ht="38.25" customHeight="1">
      <c r="A73" s="88"/>
      <c r="B73" s="40" t="s">
        <v>43</v>
      </c>
      <c r="C73" s="28">
        <f t="shared" si="12"/>
        <v>154.3</v>
      </c>
      <c r="D73" s="25"/>
      <c r="E73" s="25">
        <v>154.3</v>
      </c>
      <c r="F73" s="41">
        <v>0</v>
      </c>
      <c r="G73" s="50">
        <v>0</v>
      </c>
      <c r="H73" s="50">
        <v>0</v>
      </c>
      <c r="I73" s="2">
        <f t="shared" si="13"/>
        <v>97.3</v>
      </c>
      <c r="J73" s="3"/>
      <c r="K73" s="3">
        <v>97.3</v>
      </c>
      <c r="Q73" s="41">
        <v>0</v>
      </c>
      <c r="R73" s="50">
        <v>0</v>
      </c>
      <c r="S73" s="50">
        <v>0</v>
      </c>
    </row>
    <row r="74" spans="1:19" ht="61.5" customHeight="1">
      <c r="A74" s="90" t="s">
        <v>27</v>
      </c>
      <c r="B74" s="35" t="s">
        <v>28</v>
      </c>
      <c r="C74" s="28">
        <f>D74+E74</f>
        <v>22000</v>
      </c>
      <c r="D74" s="25">
        <f>D75</f>
        <v>0</v>
      </c>
      <c r="E74" s="25">
        <f>E75</f>
        <v>22000</v>
      </c>
      <c r="F74" s="52">
        <f>G74+H74</f>
        <v>650</v>
      </c>
      <c r="G74" s="51">
        <f>G75</f>
        <v>0</v>
      </c>
      <c r="H74" s="51">
        <f>H75</f>
        <v>650</v>
      </c>
      <c r="I74" s="17">
        <f>J74+K74</f>
        <v>27000</v>
      </c>
      <c r="J74" s="18">
        <f>J75</f>
        <v>0</v>
      </c>
      <c r="K74" s="18">
        <f>K75</f>
        <v>27000</v>
      </c>
      <c r="Q74" s="52">
        <f>R74+S74</f>
        <v>500</v>
      </c>
      <c r="R74" s="51">
        <f>R75</f>
        <v>0</v>
      </c>
      <c r="S74" s="51">
        <f>S75</f>
        <v>500</v>
      </c>
    </row>
    <row r="75" spans="1:19" ht="17.25" customHeight="1">
      <c r="A75" s="89"/>
      <c r="B75" s="42" t="s">
        <v>40</v>
      </c>
      <c r="C75" s="28">
        <f>D75+E75</f>
        <v>22000</v>
      </c>
      <c r="D75" s="25"/>
      <c r="E75" s="25">
        <v>22000</v>
      </c>
      <c r="F75" s="41">
        <f>H75+G75</f>
        <v>650</v>
      </c>
      <c r="G75" s="50">
        <v>0</v>
      </c>
      <c r="H75" s="50">
        <f>1000-350</f>
        <v>650</v>
      </c>
      <c r="I75" s="2">
        <f>J75+K75</f>
        <v>27000</v>
      </c>
      <c r="J75" s="3"/>
      <c r="K75" s="3">
        <f>25000+2000</f>
        <v>27000</v>
      </c>
      <c r="N75">
        <f>15000+50</f>
        <v>15050</v>
      </c>
      <c r="Q75" s="41">
        <f>S75+R75</f>
        <v>500</v>
      </c>
      <c r="R75" s="50"/>
      <c r="S75" s="50">
        <f>1000-500</f>
        <v>500</v>
      </c>
    </row>
    <row r="76" spans="1:19" ht="57" customHeight="1">
      <c r="A76" s="71" t="s">
        <v>44</v>
      </c>
      <c r="B76" s="37" t="s">
        <v>55</v>
      </c>
      <c r="C76" s="28"/>
      <c r="D76" s="25"/>
      <c r="E76" s="25"/>
      <c r="F76" s="52">
        <f>G76+H76</f>
        <v>27301.000000000004</v>
      </c>
      <c r="G76" s="51">
        <f>G77+G78</f>
        <v>26706.100000000002</v>
      </c>
      <c r="H76" s="51">
        <f>H77+H78</f>
        <v>594.9000000000001</v>
      </c>
      <c r="I76" s="17"/>
      <c r="J76" s="18"/>
      <c r="K76" s="18"/>
      <c r="L76" s="19"/>
      <c r="M76" s="19"/>
      <c r="N76" s="19"/>
      <c r="O76" s="19"/>
      <c r="P76" s="19"/>
      <c r="Q76" s="52">
        <f>Q77+Q78</f>
        <v>12865.5</v>
      </c>
      <c r="R76" s="51">
        <f>R77+R78</f>
        <v>12489.3</v>
      </c>
      <c r="S76" s="51">
        <f>S77+S78</f>
        <v>376.2</v>
      </c>
    </row>
    <row r="77" spans="1:19" ht="57" customHeight="1">
      <c r="A77" s="72"/>
      <c r="B77" s="42" t="s">
        <v>67</v>
      </c>
      <c r="C77" s="28"/>
      <c r="D77" s="25"/>
      <c r="E77" s="25"/>
      <c r="F77" s="41">
        <f>G77+H77</f>
        <v>26360.9</v>
      </c>
      <c r="G77" s="50">
        <f>8000+18097.2</f>
        <v>26097.2</v>
      </c>
      <c r="H77" s="50">
        <f>80.9+182.8</f>
        <v>263.70000000000005</v>
      </c>
      <c r="I77" s="2"/>
      <c r="J77" s="3"/>
      <c r="K77" s="3"/>
      <c r="L77" s="21"/>
      <c r="M77" s="21"/>
      <c r="N77" s="21"/>
      <c r="O77" s="21"/>
      <c r="P77" s="21"/>
      <c r="Q77" s="41">
        <f>R77+S77</f>
        <v>12105.5</v>
      </c>
      <c r="R77" s="50">
        <f>11984.4</f>
        <v>11984.4</v>
      </c>
      <c r="S77" s="50">
        <f>121.1</f>
        <v>121.1</v>
      </c>
    </row>
    <row r="78" spans="1:19" ht="51.75" customHeight="1">
      <c r="A78" s="73"/>
      <c r="B78" s="40" t="s">
        <v>43</v>
      </c>
      <c r="C78" s="28"/>
      <c r="D78" s="25"/>
      <c r="E78" s="25"/>
      <c r="F78" s="41">
        <f>G78+H78</f>
        <v>940.0999999999999</v>
      </c>
      <c r="G78" s="50">
        <f>608.9</f>
        <v>608.9</v>
      </c>
      <c r="H78" s="50">
        <f>500-175+6.2</f>
        <v>331.2</v>
      </c>
      <c r="I78" s="2"/>
      <c r="J78" s="3"/>
      <c r="K78" s="3"/>
      <c r="Q78" s="41">
        <f>R78+S78</f>
        <v>760</v>
      </c>
      <c r="R78" s="50">
        <f>504.9</f>
        <v>504.9</v>
      </c>
      <c r="S78" s="50">
        <f>500-250+5.1</f>
        <v>255.1</v>
      </c>
    </row>
    <row r="79" spans="1:19" ht="47.25" customHeight="1">
      <c r="A79" s="71" t="s">
        <v>45</v>
      </c>
      <c r="B79" s="37" t="s">
        <v>56</v>
      </c>
      <c r="C79" s="28"/>
      <c r="D79" s="25"/>
      <c r="E79" s="25"/>
      <c r="F79" s="52">
        <f>F80+F81</f>
        <v>3.2</v>
      </c>
      <c r="G79" s="51">
        <f>G80+G81+G82</f>
        <v>0</v>
      </c>
      <c r="H79" s="51">
        <f>H80+H81+H82</f>
        <v>3.2</v>
      </c>
      <c r="I79" s="2"/>
      <c r="J79" s="3"/>
      <c r="K79" s="3"/>
      <c r="Q79" s="52">
        <f>Q80+Q81</f>
        <v>2.4000000000000004</v>
      </c>
      <c r="R79" s="51">
        <f>R80+R81+R82</f>
        <v>0</v>
      </c>
      <c r="S79" s="51">
        <f>S80+S81+S82</f>
        <v>2.4000000000000004</v>
      </c>
    </row>
    <row r="80" spans="1:23" ht="45" customHeight="1">
      <c r="A80" s="72"/>
      <c r="B80" s="42" t="s">
        <v>67</v>
      </c>
      <c r="C80" s="28"/>
      <c r="D80" s="25"/>
      <c r="E80" s="25"/>
      <c r="F80" s="41">
        <f>G80+H80</f>
        <v>0</v>
      </c>
      <c r="G80" s="50">
        <v>0</v>
      </c>
      <c r="H80" s="50">
        <v>0</v>
      </c>
      <c r="I80" s="2"/>
      <c r="J80" s="3"/>
      <c r="K80" s="3"/>
      <c r="Q80" s="41">
        <v>0</v>
      </c>
      <c r="R80" s="50">
        <v>0</v>
      </c>
      <c r="S80" s="50">
        <v>0</v>
      </c>
      <c r="W80" s="33">
        <f>H80+G80</f>
        <v>0</v>
      </c>
    </row>
    <row r="81" spans="1:19" ht="35.25" customHeight="1">
      <c r="A81" s="72"/>
      <c r="B81" s="42" t="s">
        <v>33</v>
      </c>
      <c r="C81" s="28"/>
      <c r="D81" s="25"/>
      <c r="E81" s="25"/>
      <c r="F81" s="41">
        <f>G81+H81</f>
        <v>3.2</v>
      </c>
      <c r="G81" s="50">
        <v>0</v>
      </c>
      <c r="H81" s="50">
        <f>5.2-2</f>
        <v>3.2</v>
      </c>
      <c r="I81" s="2"/>
      <c r="J81" s="3"/>
      <c r="K81" s="3"/>
      <c r="Q81" s="41">
        <f>R81+S81</f>
        <v>2.4000000000000004</v>
      </c>
      <c r="R81" s="50">
        <v>0</v>
      </c>
      <c r="S81" s="50">
        <f>5.4-3</f>
        <v>2.4000000000000004</v>
      </c>
    </row>
    <row r="82" spans="1:19" ht="15" customHeight="1" hidden="1">
      <c r="A82" s="73"/>
      <c r="B82" s="37"/>
      <c r="C82" s="28"/>
      <c r="D82" s="25"/>
      <c r="E82" s="25"/>
      <c r="F82" s="41"/>
      <c r="G82" s="50"/>
      <c r="H82" s="50"/>
      <c r="I82" s="2"/>
      <c r="J82" s="3"/>
      <c r="K82" s="3"/>
      <c r="Q82" s="41"/>
      <c r="R82" s="50"/>
      <c r="S82" s="50"/>
    </row>
    <row r="83" spans="1:19" ht="83.25" customHeight="1">
      <c r="A83" s="71" t="s">
        <v>46</v>
      </c>
      <c r="B83" s="37" t="s">
        <v>57</v>
      </c>
      <c r="C83" s="28"/>
      <c r="D83" s="25"/>
      <c r="E83" s="25"/>
      <c r="F83" s="52">
        <f>F84</f>
        <v>196.5</v>
      </c>
      <c r="G83" s="51">
        <f>G84</f>
        <v>0</v>
      </c>
      <c r="H83" s="51">
        <f>H84</f>
        <v>196.5</v>
      </c>
      <c r="I83" s="17"/>
      <c r="J83" s="18"/>
      <c r="K83" s="18"/>
      <c r="L83" s="19"/>
      <c r="M83" s="19"/>
      <c r="N83" s="19"/>
      <c r="O83" s="19"/>
      <c r="P83" s="19"/>
      <c r="Q83" s="52">
        <f>Q84</f>
        <v>151.5</v>
      </c>
      <c r="R83" s="51">
        <f>R84</f>
        <v>0</v>
      </c>
      <c r="S83" s="51">
        <f>S84</f>
        <v>151.5</v>
      </c>
    </row>
    <row r="84" spans="1:19" ht="32.25" customHeight="1">
      <c r="A84" s="73"/>
      <c r="B84" s="40" t="s">
        <v>29</v>
      </c>
      <c r="C84" s="28"/>
      <c r="D84" s="25"/>
      <c r="E84" s="25"/>
      <c r="F84" s="66">
        <f>G84+H84</f>
        <v>196.5</v>
      </c>
      <c r="G84" s="64"/>
      <c r="H84" s="64">
        <f>12.5+27.5+262.5-10-92-4</f>
        <v>196.5</v>
      </c>
      <c r="I84" s="2"/>
      <c r="J84" s="3"/>
      <c r="K84" s="3"/>
      <c r="Q84" s="66">
        <f>R84+S84</f>
        <v>151.5</v>
      </c>
      <c r="R84" s="64"/>
      <c r="S84" s="64">
        <f>262.5+27.5+12.5-14-131-6</f>
        <v>151.5</v>
      </c>
    </row>
    <row r="85" spans="1:19" ht="32.25" customHeight="1">
      <c r="A85" s="71" t="s">
        <v>47</v>
      </c>
      <c r="B85" s="38" t="s">
        <v>58</v>
      </c>
      <c r="C85" s="28"/>
      <c r="D85" s="25"/>
      <c r="E85" s="25"/>
      <c r="F85" s="69">
        <f>G85+H85</f>
        <v>34545.6</v>
      </c>
      <c r="G85" s="69">
        <f>G87+G89</f>
        <v>34200.1</v>
      </c>
      <c r="H85" s="69">
        <f>H87+H89+H88</f>
        <v>345.5</v>
      </c>
      <c r="I85" s="17"/>
      <c r="J85" s="18"/>
      <c r="K85" s="18"/>
      <c r="L85" s="19"/>
      <c r="M85" s="19"/>
      <c r="N85" s="19"/>
      <c r="O85" s="19"/>
      <c r="P85" s="19"/>
      <c r="Q85" s="69">
        <f>R85+S85</f>
        <v>0</v>
      </c>
      <c r="R85" s="69">
        <f>R87+R89</f>
        <v>0</v>
      </c>
      <c r="S85" s="69">
        <f>S87+S89+S88</f>
        <v>0</v>
      </c>
    </row>
    <row r="86" spans="1:19" ht="21.75" customHeight="1">
      <c r="A86" s="72"/>
      <c r="B86" s="39" t="s">
        <v>59</v>
      </c>
      <c r="C86" s="28"/>
      <c r="D86" s="25"/>
      <c r="E86" s="25"/>
      <c r="F86" s="70"/>
      <c r="G86" s="70"/>
      <c r="H86" s="70"/>
      <c r="I86" s="17"/>
      <c r="J86" s="18"/>
      <c r="K86" s="18"/>
      <c r="L86" s="19"/>
      <c r="M86" s="19"/>
      <c r="N86" s="19"/>
      <c r="O86" s="19"/>
      <c r="P86" s="19"/>
      <c r="Q86" s="70"/>
      <c r="R86" s="70"/>
      <c r="S86" s="70"/>
    </row>
    <row r="87" spans="1:19" ht="39" customHeight="1">
      <c r="A87" s="72"/>
      <c r="B87" s="40" t="s">
        <v>43</v>
      </c>
      <c r="C87" s="28"/>
      <c r="D87" s="25"/>
      <c r="E87" s="25"/>
      <c r="F87" s="67">
        <f>G87+H87</f>
        <v>34545.6</v>
      </c>
      <c r="G87" s="65">
        <f>34200.1</f>
        <v>34200.1</v>
      </c>
      <c r="H87" s="65">
        <v>345.5</v>
      </c>
      <c r="I87" s="2"/>
      <c r="J87" s="3"/>
      <c r="K87" s="3"/>
      <c r="L87" s="21"/>
      <c r="M87" s="21"/>
      <c r="N87" s="21"/>
      <c r="O87" s="21"/>
      <c r="P87" s="21"/>
      <c r="Q87" s="67">
        <f>R87+S87</f>
        <v>0</v>
      </c>
      <c r="R87" s="65">
        <v>0</v>
      </c>
      <c r="S87" s="65">
        <v>0</v>
      </c>
    </row>
    <row r="88" spans="1:19" ht="39" customHeight="1">
      <c r="A88" s="72"/>
      <c r="B88" s="40" t="s">
        <v>29</v>
      </c>
      <c r="C88" s="28"/>
      <c r="D88" s="25"/>
      <c r="E88" s="25"/>
      <c r="F88" s="67">
        <f>G88+H88</f>
        <v>0</v>
      </c>
      <c r="G88" s="65"/>
      <c r="H88" s="65">
        <v>0</v>
      </c>
      <c r="I88" s="2"/>
      <c r="J88" s="3"/>
      <c r="K88" s="3"/>
      <c r="Q88" s="67">
        <f>R88+S88</f>
        <v>0</v>
      </c>
      <c r="R88" s="65"/>
      <c r="S88" s="65">
        <v>0</v>
      </c>
    </row>
    <row r="89" spans="1:19" ht="44.25" customHeight="1">
      <c r="A89" s="73"/>
      <c r="B89" s="40" t="s">
        <v>68</v>
      </c>
      <c r="C89" s="28"/>
      <c r="D89" s="25"/>
      <c r="E89" s="25"/>
      <c r="F89" s="67">
        <v>0</v>
      </c>
      <c r="G89" s="65"/>
      <c r="H89" s="65">
        <v>0</v>
      </c>
      <c r="I89" s="2"/>
      <c r="J89" s="3"/>
      <c r="K89" s="3"/>
      <c r="Q89" s="67">
        <f>R89+S89</f>
        <v>0</v>
      </c>
      <c r="R89" s="65"/>
      <c r="S89" s="65">
        <v>0</v>
      </c>
    </row>
    <row r="90" spans="1:23" ht="56.25" customHeight="1">
      <c r="A90" s="71" t="s">
        <v>48</v>
      </c>
      <c r="B90" s="37" t="s">
        <v>62</v>
      </c>
      <c r="C90" s="28"/>
      <c r="D90" s="25"/>
      <c r="E90" s="25"/>
      <c r="F90" s="52">
        <f>F91+F92</f>
        <v>68287.09999999999</v>
      </c>
      <c r="G90" s="51">
        <f>G91+G92</f>
        <v>0</v>
      </c>
      <c r="H90" s="51">
        <f>H91+H92</f>
        <v>68287.09999999999</v>
      </c>
      <c r="I90" s="17"/>
      <c r="J90" s="18"/>
      <c r="K90" s="18"/>
      <c r="L90" s="19"/>
      <c r="M90" s="19"/>
      <c r="N90" s="19"/>
      <c r="O90" s="19"/>
      <c r="P90" s="19"/>
      <c r="Q90" s="52">
        <f>Q91+Q92</f>
        <v>58615.09999999999</v>
      </c>
      <c r="R90" s="51">
        <f>R91+R92</f>
        <v>6024.1</v>
      </c>
      <c r="S90" s="51">
        <f>S91+S92</f>
        <v>52590.99999999999</v>
      </c>
      <c r="W90" s="33">
        <f>G90+H90</f>
        <v>68287.09999999999</v>
      </c>
    </row>
    <row r="91" spans="1:19" ht="31.5" customHeight="1">
      <c r="A91" s="72"/>
      <c r="B91" s="40" t="s">
        <v>29</v>
      </c>
      <c r="C91" s="28"/>
      <c r="D91" s="25"/>
      <c r="E91" s="25"/>
      <c r="F91" s="41">
        <f>G91+H91</f>
        <v>61875.09999999999</v>
      </c>
      <c r="G91" s="50">
        <v>0</v>
      </c>
      <c r="H91" s="50">
        <f>42808.6+1200+12928.2+2948.2+7079.9+5500+7923.3+3180.4+2800+5112.5+115+3500+100-19930-12131-1260</f>
        <v>61875.09999999999</v>
      </c>
      <c r="I91" s="2"/>
      <c r="J91" s="3"/>
      <c r="K91" s="3"/>
      <c r="Q91" s="41">
        <f>R91+S91</f>
        <v>47598.09999999999</v>
      </c>
      <c r="R91" s="50">
        <v>0</v>
      </c>
      <c r="S91" s="50">
        <f>42808.6+1200+12928.2+2948.2+7079.9+5500+7923.3+3180.4+2800+5112.5+115+3500+100-28468-17330-1800</f>
        <v>47598.09999999999</v>
      </c>
    </row>
    <row r="92" spans="1:19" ht="51" customHeight="1">
      <c r="A92" s="73"/>
      <c r="B92" s="42" t="s">
        <v>67</v>
      </c>
      <c r="C92" s="28"/>
      <c r="D92" s="25"/>
      <c r="E92" s="25"/>
      <c r="F92" s="41">
        <f>G92+H92</f>
        <v>6412</v>
      </c>
      <c r="G92" s="50">
        <v>0</v>
      </c>
      <c r="H92" s="50">
        <f>250+2500+1300+15+5500+300-88-460-875-1925-105</f>
        <v>6412</v>
      </c>
      <c r="I92" s="2"/>
      <c r="J92" s="3"/>
      <c r="K92" s="3"/>
      <c r="Q92" s="41">
        <f>R92+S92</f>
        <v>11017</v>
      </c>
      <c r="R92" s="50">
        <v>6024.1</v>
      </c>
      <c r="S92" s="50">
        <f>250+2500+1300+15+5500+300-125-658-1250-2750-150+60.9</f>
        <v>4992.9</v>
      </c>
    </row>
    <row r="93" spans="1:22" ht="56.25" customHeight="1">
      <c r="A93" s="71" t="s">
        <v>49</v>
      </c>
      <c r="B93" s="37" t="s">
        <v>60</v>
      </c>
      <c r="C93" s="28"/>
      <c r="D93" s="25"/>
      <c r="E93" s="25"/>
      <c r="F93" s="52">
        <f>F94</f>
        <v>1260.4</v>
      </c>
      <c r="G93" s="51">
        <f>G94</f>
        <v>1247.7</v>
      </c>
      <c r="H93" s="51">
        <f>H94</f>
        <v>12.7</v>
      </c>
      <c r="I93" s="2"/>
      <c r="J93" s="3"/>
      <c r="K93" s="3"/>
      <c r="Q93" s="52">
        <f>Q94</f>
        <v>1204.8999999999999</v>
      </c>
      <c r="R93" s="51">
        <f>R94</f>
        <v>1192.8</v>
      </c>
      <c r="S93" s="51">
        <f>S94</f>
        <v>12.1</v>
      </c>
      <c r="V93" s="33">
        <f>G93+H93</f>
        <v>1260.4</v>
      </c>
    </row>
    <row r="94" spans="1:19" ht="32.25" customHeight="1">
      <c r="A94" s="73"/>
      <c r="B94" s="40" t="s">
        <v>43</v>
      </c>
      <c r="C94" s="28"/>
      <c r="D94" s="25"/>
      <c r="E94" s="25"/>
      <c r="F94" s="41">
        <f>G94+H94</f>
        <v>1260.4</v>
      </c>
      <c r="G94" s="50">
        <f>1247.7</f>
        <v>1247.7</v>
      </c>
      <c r="H94" s="50">
        <v>12.7</v>
      </c>
      <c r="I94" s="2"/>
      <c r="J94" s="3"/>
      <c r="K94" s="3"/>
      <c r="Q94" s="41">
        <f>R94+S94</f>
        <v>1204.8999999999999</v>
      </c>
      <c r="R94" s="50">
        <v>1192.8</v>
      </c>
      <c r="S94" s="50">
        <v>12.1</v>
      </c>
    </row>
    <row r="95" spans="1:19" ht="53.25" customHeight="1">
      <c r="A95" s="71" t="s">
        <v>63</v>
      </c>
      <c r="B95" s="37" t="s">
        <v>64</v>
      </c>
      <c r="C95" s="28"/>
      <c r="D95" s="25"/>
      <c r="E95" s="25"/>
      <c r="F95" s="52">
        <f>F96</f>
        <v>0</v>
      </c>
      <c r="G95" s="51">
        <f>G96</f>
        <v>0</v>
      </c>
      <c r="H95" s="51">
        <f>H96</f>
        <v>0</v>
      </c>
      <c r="I95" s="17"/>
      <c r="J95" s="18"/>
      <c r="K95" s="18"/>
      <c r="L95" s="19"/>
      <c r="M95" s="19"/>
      <c r="N95" s="19"/>
      <c r="O95" s="19"/>
      <c r="P95" s="19"/>
      <c r="Q95" s="52">
        <f>R95+S95</f>
        <v>0</v>
      </c>
      <c r="R95" s="51">
        <f>R96</f>
        <v>0</v>
      </c>
      <c r="S95" s="51">
        <f>S96</f>
        <v>0</v>
      </c>
    </row>
    <row r="96" spans="1:19" ht="53.25" customHeight="1">
      <c r="A96" s="73"/>
      <c r="B96" s="40" t="s">
        <v>43</v>
      </c>
      <c r="C96" s="28"/>
      <c r="D96" s="25"/>
      <c r="E96" s="25"/>
      <c r="F96" s="41">
        <f>G96+H96</f>
        <v>0</v>
      </c>
      <c r="G96" s="50">
        <v>0</v>
      </c>
      <c r="H96" s="50">
        <v>0</v>
      </c>
      <c r="I96" s="2"/>
      <c r="J96" s="3"/>
      <c r="K96" s="3"/>
      <c r="Q96" s="41">
        <f>R96+S96</f>
        <v>0</v>
      </c>
      <c r="R96" s="50">
        <v>0</v>
      </c>
      <c r="S96" s="50">
        <v>0</v>
      </c>
    </row>
    <row r="97" spans="1:31" ht="15.75">
      <c r="A97" s="34"/>
      <c r="B97" s="58" t="s">
        <v>10</v>
      </c>
      <c r="C97" s="25" t="e">
        <f>D97+E97</f>
        <v>#REF!</v>
      </c>
      <c r="D97" s="25" t="e">
        <f>D14+D20+D29+D33+D39+D48+D54+D60+D64+D66+D74</f>
        <v>#REF!</v>
      </c>
      <c r="E97" s="25" t="e">
        <f>E14+E20+E29+E33+E39+E48+E54+E60+E64+E66+E74</f>
        <v>#REF!</v>
      </c>
      <c r="F97" s="51">
        <f>G97+H97</f>
        <v>1635371.9999999998</v>
      </c>
      <c r="G97" s="51">
        <f>G14+G20+G29+G33+G39+G48+G54+G60+G64+G66+G74+G76+G79+G83+G85+G90+G93+G95</f>
        <v>1034314.5999999999</v>
      </c>
      <c r="H97" s="51">
        <f>H14+H20++H29+H33+H39+H48+H54++H60+H64+H66+H74+H76+H79+H83+H85+H90+H93+H95</f>
        <v>601057.3999999999</v>
      </c>
      <c r="I97" s="3" t="e">
        <f>J97+K97</f>
        <v>#REF!</v>
      </c>
      <c r="J97" s="3" t="e">
        <f>J14+J20+J29+J33+J39+J48+J54+J60+J64+J66+J74</f>
        <v>#REF!</v>
      </c>
      <c r="K97" s="3" t="e">
        <f>K14+K20+K29+K33+K39+K48+K54+K60+K64+K66+K74</f>
        <v>#REF!</v>
      </c>
      <c r="Q97" s="51">
        <f>R97+S97</f>
        <v>1251426.9000000001</v>
      </c>
      <c r="R97" s="51">
        <f>R14+R20+R29+R33+R39+R48+R54+R60+R64+R66+R74+R76+R79+R83+R85+R90+R93+R95</f>
        <v>762864.3000000002</v>
      </c>
      <c r="S97" s="51">
        <f>S14+S20++S29+S33+S39+S48+S54++S60+S64+S66+S74+S76+S79+S83+S85+S90+S93+S95</f>
        <v>488562.60000000003</v>
      </c>
      <c r="AE97" s="33"/>
    </row>
    <row r="98" spans="2:8" ht="15.75" hidden="1">
      <c r="B98" s="6"/>
      <c r="C98" s="6"/>
      <c r="F98" s="53"/>
      <c r="G98" s="53"/>
      <c r="H98" s="53"/>
    </row>
    <row r="99" spans="2:11" ht="15.75" hidden="1">
      <c r="B99" s="6"/>
      <c r="C99" s="6"/>
      <c r="F99" s="53"/>
      <c r="G99" s="53"/>
      <c r="H99" s="53">
        <f>G97+H97</f>
        <v>1635371.9999999998</v>
      </c>
      <c r="K99" s="7"/>
    </row>
    <row r="100" spans="6:8" ht="15.75" hidden="1">
      <c r="F100" s="53"/>
      <c r="G100" s="53"/>
      <c r="H100" s="53"/>
    </row>
    <row r="101" spans="6:23" ht="15.75" hidden="1">
      <c r="F101" s="53"/>
      <c r="G101" s="53"/>
      <c r="H101" s="53"/>
      <c r="I101" s="19"/>
      <c r="J101" s="19"/>
      <c r="K101" s="20"/>
      <c r="O101" t="s">
        <v>39</v>
      </c>
      <c r="T101">
        <f>167838.1-50</f>
        <v>167788.1</v>
      </c>
      <c r="V101">
        <v>5719.8</v>
      </c>
      <c r="W101">
        <f>T101+V101</f>
        <v>173507.9</v>
      </c>
    </row>
    <row r="102" spans="6:8" ht="15.75" hidden="1">
      <c r="F102" s="54"/>
      <c r="G102" s="54"/>
      <c r="H102" s="54"/>
    </row>
    <row r="103" spans="20:21" ht="12.75">
      <c r="T103" s="31">
        <v>0</v>
      </c>
      <c r="U103" s="31">
        <v>0</v>
      </c>
    </row>
    <row r="105" ht="12.75">
      <c r="N105" s="31">
        <f>F97+W101</f>
        <v>1808879.8999999997</v>
      </c>
    </row>
    <row r="110" spans="42:43" ht="12.75">
      <c r="AP110" s="33"/>
      <c r="AQ110" s="33"/>
    </row>
    <row r="116" ht="12.75">
      <c r="AE116" s="33"/>
    </row>
    <row r="121" ht="12.75">
      <c r="AE121" s="33"/>
    </row>
    <row r="123" ht="12.75">
      <c r="AE123" s="33"/>
    </row>
  </sheetData>
  <sheetProtection/>
  <mergeCells count="39">
    <mergeCell ref="A39:A47"/>
    <mergeCell ref="A10:A13"/>
    <mergeCell ref="A95:A96"/>
    <mergeCell ref="A83:A84"/>
    <mergeCell ref="A85:A89"/>
    <mergeCell ref="A76:A78"/>
    <mergeCell ref="A74:A75"/>
    <mergeCell ref="A54:A59"/>
    <mergeCell ref="A60:A61"/>
    <mergeCell ref="A93:A94"/>
    <mergeCell ref="I10:K10"/>
    <mergeCell ref="J11:K11"/>
    <mergeCell ref="A14:A19"/>
    <mergeCell ref="A20:A28"/>
    <mergeCell ref="A29:A32"/>
    <mergeCell ref="A79:A82"/>
    <mergeCell ref="A33:A37"/>
    <mergeCell ref="A64:A65"/>
    <mergeCell ref="A66:A73"/>
    <mergeCell ref="A48:A51"/>
    <mergeCell ref="D2:E2"/>
    <mergeCell ref="D3:E3"/>
    <mergeCell ref="D6:E6"/>
    <mergeCell ref="D11:E11"/>
    <mergeCell ref="C10:E10"/>
    <mergeCell ref="B7:H7"/>
    <mergeCell ref="B8:H8"/>
    <mergeCell ref="F10:H10"/>
    <mergeCell ref="G11:H11"/>
    <mergeCell ref="F85:F86"/>
    <mergeCell ref="G85:G86"/>
    <mergeCell ref="H85:H86"/>
    <mergeCell ref="A90:A92"/>
    <mergeCell ref="D1:E1"/>
    <mergeCell ref="Q10:S10"/>
    <mergeCell ref="R11:S11"/>
    <mergeCell ref="Q85:Q86"/>
    <mergeCell ref="R85:R86"/>
    <mergeCell ref="S85:S86"/>
  </mergeCells>
  <printOptions/>
  <pageMargins left="0.7874015748031497" right="0.7480314960629921" top="0.98425196850393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Татьяна</cp:lastModifiedBy>
  <cp:lastPrinted>2019-11-18T03:30:53Z</cp:lastPrinted>
  <dcterms:created xsi:type="dcterms:W3CDTF">2007-11-23T11:17:43Z</dcterms:created>
  <dcterms:modified xsi:type="dcterms:W3CDTF">2019-11-18T03:31:00Z</dcterms:modified>
  <cp:category/>
  <cp:version/>
  <cp:contentType/>
  <cp:contentStatus/>
</cp:coreProperties>
</file>